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D:\Acces la infrastructura\tarife orientative\infrastructura rutiera\Consiliu Consultativ\pt site\"/>
    </mc:Choice>
  </mc:AlternateContent>
  <xr:revisionPtr revIDLastSave="0" documentId="13_ncr:1_{AB2756C1-DF09-49EB-BDD9-C2CBE5C7A571}" xr6:coauthVersionLast="47" xr6:coauthVersionMax="47" xr10:uidLastSave="{00000000-0000-0000-0000-000000000000}"/>
  <bookViews>
    <workbookView xWindow="-120" yWindow="-120" windowWidth="29040" windowHeight="15840" tabRatio="706" xr2:uid="{3B5970EE-C1E0-477C-ABE0-26D3F92CE53D}"/>
  </bookViews>
  <sheets>
    <sheet name="Autostrazi" sheetId="1" r:id="rId1"/>
    <sheet name="Dr expres_dr nationale" sheetId="3" r:id="rId2"/>
    <sheet name="drumuri judetene" sheetId="2" r:id="rId3"/>
    <sheet name="OPEX CNAIR" sheetId="8" r:id="rId4"/>
    <sheet name="% in CA" sheetId="4" r:id="rId5"/>
    <sheet name="Latimi drumuri" sheetId="5" r:id="rId6"/>
  </sheets>
  <definedNames>
    <definedName name="_xlnm.Print_Area" localSheetId="0">Autostrazi!$A$1:$I$76</definedName>
    <definedName name="_xlnm.Print_Area" localSheetId="1">'Dr expres_dr nationale'!$A$1:$I$49</definedName>
    <definedName name="_xlnm.Print_Area" localSheetId="2">'drumuri judetene'!$A$1:$I$41</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E30" i="1"/>
  <c r="F30" i="1" s="1"/>
  <c r="D27" i="1"/>
  <c r="E27" i="1"/>
  <c r="F27" i="1" s="1"/>
  <c r="D28" i="1"/>
  <c r="E28" i="1"/>
  <c r="F28" i="1" s="1"/>
  <c r="D18" i="1"/>
  <c r="E18" i="1"/>
  <c r="F18" i="1" s="1"/>
  <c r="D19" i="1"/>
  <c r="E19" i="1"/>
  <c r="F19" i="1" s="1"/>
  <c r="D8" i="1"/>
  <c r="E8" i="1"/>
  <c r="F8" i="1" s="1"/>
  <c r="B22" i="1"/>
  <c r="C2" i="8"/>
  <c r="B16" i="8" l="1"/>
  <c r="B42" i="1" l="1"/>
  <c r="C9" i="4"/>
  <c r="C4" i="4" l="1"/>
  <c r="C3" i="4"/>
  <c r="C2" i="2"/>
  <c r="E48" i="3" l="1"/>
  <c r="E49" i="3" s="1"/>
  <c r="C48" i="3"/>
  <c r="C49" i="3" s="1"/>
  <c r="B48" i="3"/>
  <c r="B49" i="3" s="1"/>
  <c r="E75" i="1"/>
  <c r="E76" i="1" s="1"/>
  <c r="C75" i="1"/>
  <c r="C76" i="1" s="1"/>
  <c r="B75" i="1"/>
  <c r="B76" i="1" s="1"/>
  <c r="B9" i="8"/>
  <c r="C10" i="2"/>
  <c r="D25" i="4"/>
  <c r="C6" i="4"/>
  <c r="C5" i="4"/>
  <c r="D5" i="4" s="1"/>
  <c r="C10" i="4"/>
  <c r="B14" i="3" l="1"/>
  <c r="C3" i="8"/>
  <c r="C4" i="8" s="1"/>
  <c r="D2" i="8"/>
  <c r="D3" i="8" s="1"/>
  <c r="B61" i="1" s="1"/>
  <c r="B34" i="3" s="1"/>
  <c r="C30" i="2"/>
  <c r="C32" i="2" s="1"/>
  <c r="B35" i="3" l="1"/>
  <c r="B37" i="3" s="1"/>
  <c r="B38" i="3" s="1"/>
  <c r="D4" i="8"/>
  <c r="B62" i="1"/>
  <c r="B64" i="1" s="1"/>
  <c r="B65" i="1" s="1"/>
  <c r="B66" i="1" s="1"/>
  <c r="B39" i="3" l="1"/>
  <c r="D17" i="4"/>
  <c r="C33" i="2" l="1"/>
  <c r="B8" i="3"/>
  <c r="B36" i="1"/>
  <c r="C4" i="2"/>
  <c r="C8" i="2" s="1"/>
  <c r="C34" i="2" l="1"/>
  <c r="C11" i="4"/>
  <c r="D11" i="4" l="1"/>
  <c r="D3" i="3"/>
  <c r="D4" i="3"/>
  <c r="D5" i="3"/>
  <c r="D2" i="3"/>
  <c r="D3" i="1"/>
  <c r="D4" i="1"/>
  <c r="D5" i="1"/>
  <c r="D6" i="1"/>
  <c r="D7" i="1"/>
  <c r="D9" i="1"/>
  <c r="D10" i="1"/>
  <c r="D11" i="1"/>
  <c r="D12" i="1"/>
  <c r="D13" i="1"/>
  <c r="D14" i="1"/>
  <c r="D15" i="1"/>
  <c r="D16" i="1"/>
  <c r="D17" i="1"/>
  <c r="D20" i="1"/>
  <c r="D21" i="1"/>
  <c r="D22" i="1"/>
  <c r="D23" i="1"/>
  <c r="D24" i="1"/>
  <c r="D25" i="1"/>
  <c r="D26" i="1"/>
  <c r="D29" i="1"/>
  <c r="D31" i="1"/>
  <c r="D32" i="1"/>
  <c r="D2" i="1"/>
  <c r="D21" i="3"/>
  <c r="C6" i="3"/>
  <c r="B12" i="3" s="1"/>
  <c r="B6" i="3"/>
  <c r="E5" i="3"/>
  <c r="F5" i="3" s="1"/>
  <c r="E4" i="3"/>
  <c r="F4" i="3" s="1"/>
  <c r="E3" i="3"/>
  <c r="F3" i="3" s="1"/>
  <c r="E2" i="3"/>
  <c r="F2" i="3" s="1"/>
  <c r="E17" i="2"/>
  <c r="F17" i="2" s="1"/>
  <c r="D49" i="1"/>
  <c r="C33" i="1"/>
  <c r="B40" i="1" s="1"/>
  <c r="B33" i="1"/>
  <c r="E32" i="1"/>
  <c r="F32" i="1" s="1"/>
  <c r="E31" i="1"/>
  <c r="F31" i="1" s="1"/>
  <c r="E29" i="1"/>
  <c r="F29" i="1" s="1"/>
  <c r="E26" i="1"/>
  <c r="F26" i="1" s="1"/>
  <c r="E25" i="1"/>
  <c r="F25" i="1" s="1"/>
  <c r="E24" i="1"/>
  <c r="F24" i="1" s="1"/>
  <c r="E23" i="1"/>
  <c r="F23" i="1" s="1"/>
  <c r="E22" i="1"/>
  <c r="F22" i="1" s="1"/>
  <c r="E21" i="1"/>
  <c r="F21" i="1" s="1"/>
  <c r="E20" i="1"/>
  <c r="F20" i="1" s="1"/>
  <c r="E17" i="1"/>
  <c r="F17" i="1" s="1"/>
  <c r="E16" i="1"/>
  <c r="F16" i="1" s="1"/>
  <c r="E15" i="1"/>
  <c r="F15" i="1" s="1"/>
  <c r="E14" i="1"/>
  <c r="F14" i="1" s="1"/>
  <c r="E13" i="1"/>
  <c r="F13" i="1" s="1"/>
  <c r="E12" i="1"/>
  <c r="F12" i="1" s="1"/>
  <c r="E11" i="1"/>
  <c r="F11" i="1" s="1"/>
  <c r="E10" i="1"/>
  <c r="F10" i="1" s="1"/>
  <c r="E9" i="1"/>
  <c r="F9" i="1" s="1"/>
  <c r="E7" i="1"/>
  <c r="F7" i="1" s="1"/>
  <c r="E6" i="1"/>
  <c r="F6" i="1" s="1"/>
  <c r="E5" i="1"/>
  <c r="F5" i="1" s="1"/>
  <c r="E4" i="1"/>
  <c r="F4" i="1" s="1"/>
  <c r="E3" i="1"/>
  <c r="F3" i="1" s="1"/>
  <c r="E2" i="1"/>
  <c r="F2" i="1" s="1"/>
  <c r="B44" i="1" l="1"/>
  <c r="D33" i="1"/>
  <c r="B16" i="3"/>
  <c r="C12" i="2"/>
  <c r="C13" i="2" s="1"/>
  <c r="C14" i="2" s="1"/>
  <c r="C20" i="2" s="1"/>
  <c r="C25" i="2" s="1"/>
  <c r="C39" i="2" s="1"/>
  <c r="D6" i="3"/>
  <c r="E6" i="3"/>
  <c r="E33" i="1"/>
  <c r="B45" i="1" l="1"/>
  <c r="B46" i="1" s="1"/>
  <c r="E52" i="1" s="1"/>
  <c r="F6" i="3"/>
  <c r="C40" i="2"/>
  <c r="C41" i="2" s="1"/>
  <c r="F33" i="1"/>
  <c r="B17" i="3"/>
  <c r="B18" i="3" s="1"/>
  <c r="E20" i="2"/>
  <c r="D20" i="2"/>
  <c r="C26" i="2"/>
  <c r="D25" i="2" l="1"/>
  <c r="E25" i="2"/>
  <c r="E57" i="1"/>
  <c r="E71" i="1" s="1"/>
  <c r="E72" i="1" s="1"/>
  <c r="B52" i="1"/>
  <c r="B57" i="1" s="1"/>
  <c r="C52" i="1"/>
  <c r="B24" i="3"/>
  <c r="B30" i="3" s="1"/>
  <c r="E24" i="3"/>
  <c r="C24" i="3"/>
  <c r="C27" i="2"/>
  <c r="E26" i="2" l="1"/>
  <c r="E27" i="2" s="1"/>
  <c r="E39" i="2"/>
  <c r="E40" i="2" s="1"/>
  <c r="E41" i="2" s="1"/>
  <c r="D26" i="2"/>
  <c r="D27" i="2" s="1"/>
  <c r="D39" i="2"/>
  <c r="D40" i="2" s="1"/>
  <c r="D41" i="2" s="1"/>
  <c r="C57" i="1"/>
  <c r="C58" i="1" s="1"/>
  <c r="C59" i="1" s="1"/>
  <c r="E30" i="3"/>
  <c r="E44" i="3" s="1"/>
  <c r="E45" i="3" s="1"/>
  <c r="E46" i="3" s="1"/>
  <c r="C30" i="3"/>
  <c r="C44" i="3" s="1"/>
  <c r="C45" i="3" s="1"/>
  <c r="C46" i="3" s="1"/>
  <c r="E58" i="1"/>
  <c r="E59" i="1" s="1"/>
  <c r="E73" i="1"/>
  <c r="B44" i="3"/>
  <c r="B45" i="3" s="1"/>
  <c r="B46" i="3" s="1"/>
  <c r="B71" i="1"/>
  <c r="B72" i="1" s="1"/>
  <c r="B58" i="1"/>
  <c r="B59" i="1" s="1"/>
  <c r="B31" i="3"/>
  <c r="B32" i="3" s="1"/>
  <c r="E31" i="3" l="1"/>
  <c r="E32" i="3" s="1"/>
  <c r="C31" i="3"/>
  <c r="C32" i="3" s="1"/>
  <c r="C71" i="1"/>
  <c r="C72" i="1" s="1"/>
  <c r="C73" i="1" s="1"/>
  <c r="B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tc={2EB856C7-07D9-4A7C-92C7-7CCDE36DEFBF}</author>
  </authors>
  <commentList>
    <comment ref="B2" authorId="0" shapeId="0" xr:uid="{2EB856C7-07D9-4A7C-92C7-7CCDE36DEFBF}">
      <text>
        <t>[Threaded comment]
Your version of Excel allows you to read this threaded comment; however, any edits to it will get removed if the file is opened in a newer version of Excel. Learn more: https://go.microsoft.com/fwlink/?linkid=870924
Comment:
    Adresa CNAIR 45220/29.09.2023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tc={63BB2A7E-A960-4931-9389-B98FFACE5243}</author>
  </authors>
  <commentList>
    <comment ref="A6" authorId="0" shapeId="0" xr:uid="{63BB2A7E-A960-4931-9389-B98FFACE5243}">
      <text>
        <t xml:space="preserve">[Threaded comment]
Your version of Excel allows you to read this threaded comment; however, any edits to it will get removed if the file is opened in a newer version of Excel. Learn more: https://go.microsoft.com/fwlink/?linkid=870924
Comment:
    OUG 43/1997, Art. 17 (2) Zonele de protecție rămân în gospodărirea persoanelor juridice sau fizice care le au în administrare sau în proprietate, cu obligația ca acestea, prin activitatea lor, să nu aducă prejudicii drumului sau derulării în siguranță a traficului prin: </t>
      </text>
    </comment>
  </commentList>
</comments>
</file>

<file path=xl/sharedStrings.xml><?xml version="1.0" encoding="utf-8"?>
<sst xmlns="http://schemas.openxmlformats.org/spreadsheetml/2006/main" count="274" uniqueCount="139">
  <si>
    <t>Proiecte Autostrazi in executie -mai 2024 http://www.cnadnr.ro/ro/node/12438</t>
  </si>
  <si>
    <t xml:space="preserve">nr. km </t>
  </si>
  <si>
    <t>valoare proiect (mil lei fara TVA)</t>
  </si>
  <si>
    <t>valoare proiect (mil euro fara TVA)</t>
  </si>
  <si>
    <t>cost/km (mil lei fara TVA)</t>
  </si>
  <si>
    <t>cost/km (mil euro fara TVA) (1eur=4.977)</t>
  </si>
  <si>
    <t>Total</t>
  </si>
  <si>
    <t>rentabilitatea capitalului angajat</t>
  </si>
  <si>
    <t xml:space="preserve">Durata de viata </t>
  </si>
  <si>
    <t>ani</t>
  </si>
  <si>
    <t>CAPEX ANUALIZAT</t>
  </si>
  <si>
    <t>lei/an</t>
  </si>
  <si>
    <t>Pondere acces la infrastructura in total cifra de afaceri</t>
  </si>
  <si>
    <t>CAPEX ANUALIZAT ATRIBUIBIL CE</t>
  </si>
  <si>
    <t>euro/an</t>
  </si>
  <si>
    <t>euro/luna</t>
  </si>
  <si>
    <t>euro/m/luna</t>
  </si>
  <si>
    <t>Tip drum</t>
  </si>
  <si>
    <t>Latimea partii carosabile</t>
  </si>
  <si>
    <t>Lațimea platformei (carosabil +acostament)</t>
  </si>
  <si>
    <t>Lățimea amprizei (platforma+2 șanțuri preluare ape pluviale-2x1m)</t>
  </si>
  <si>
    <t>Lățime ampriza+2x zona siguranță (in medie 2.75m)</t>
  </si>
  <si>
    <t>Zona de protectie (Distanţa de la marginea exterioară a zonei de siguranţă până la marginea zonei drumului) (m)</t>
  </si>
  <si>
    <t>autostrada</t>
  </si>
  <si>
    <t>sub partea carosabila</t>
  </si>
  <si>
    <t>in ampriza, in afara partii carosabile</t>
  </si>
  <si>
    <t>in zona de siguranta</t>
  </si>
  <si>
    <t>CAPEX ATRIBUIBIL CE (euro/mp/luna)</t>
  </si>
  <si>
    <t>Suprafata afectata</t>
  </si>
  <si>
    <t>CAPEX  (euro/m/luna)</t>
  </si>
  <si>
    <t>CAPEX  (euro/Km/luna)</t>
  </si>
  <si>
    <t>CAPEX  (euro/Km/an)</t>
  </si>
  <si>
    <t>Cheltuieli operationale</t>
  </si>
  <si>
    <t>EURO/km/an</t>
  </si>
  <si>
    <t>fara TVA</t>
  </si>
  <si>
    <t>Cheltuieli operationale atribuibile CE</t>
  </si>
  <si>
    <t>OPEX  (euro/m/luna)</t>
  </si>
  <si>
    <t>OPEX  (euro/Km/luna)</t>
  </si>
  <si>
    <t>OPEX  (euro/Km/an)</t>
  </si>
  <si>
    <t>grad  de ocupare</t>
  </si>
  <si>
    <t>Tarif / cablu subteran</t>
  </si>
  <si>
    <t xml:space="preserve">  (euro/m/luna)</t>
  </si>
  <si>
    <t xml:space="preserve">  (euro/Km/luna)</t>
  </si>
  <si>
    <t xml:space="preserve">  (euro/Km/an)</t>
  </si>
  <si>
    <r>
      <t xml:space="preserve">tarife actuale (euro/ml/luna, </t>
    </r>
    <r>
      <rPr>
        <b/>
        <u val="singleAccounting"/>
        <sz val="11"/>
        <color theme="1"/>
        <rFont val="Aptos Narrow"/>
        <family val="2"/>
        <scheme val="minor"/>
      </rPr>
      <t>fara</t>
    </r>
    <r>
      <rPr>
        <b/>
        <sz val="11"/>
        <color theme="1"/>
        <rFont val="Aptos Narrow"/>
        <family val="2"/>
        <scheme val="minor"/>
      </rPr>
      <t xml:space="preserve"> TVA)</t>
    </r>
  </si>
  <si>
    <t>Proiecte Drumuri expres in executie -mai 2024 hf</t>
  </si>
  <si>
    <t>A3 SI DN1(IN DREPTUL LOCALITATII
TURENI)</t>
  </si>
  <si>
    <t>BRAILA - GALATI-lot 1</t>
  </si>
  <si>
    <t xml:space="preserve">
SANAYI A.S (LIDER) - STRADE
BAUUNTERNEHMUNG S.R.L. - VISIO
CONSTRUCTION WORKS S.R.L.
TRONSON 1: CRAIOVA - ROBANESTI
(KM 0+000 - KM 17+700)</t>
  </si>
  <si>
    <t>TRONSON 4
COLONESTI - OARJA - PITESTI</t>
  </si>
  <si>
    <t>Total/cost mediu</t>
  </si>
  <si>
    <t>CAPEX  ATRIBUIBIL CE</t>
  </si>
  <si>
    <t>drum expres</t>
  </si>
  <si>
    <t>Grad de ocupare</t>
  </si>
  <si>
    <t>Cost standard</t>
  </si>
  <si>
    <t>euro/km</t>
  </si>
  <si>
    <t>IPC constructii 2021-2024</t>
  </si>
  <si>
    <t>Sursa: INSSE</t>
  </si>
  <si>
    <t>http://statistici.insse.ro:8077/tempo-online/#/pages/tables/insse-table</t>
  </si>
  <si>
    <t>euro/km/an</t>
  </si>
  <si>
    <t>CAPEX ANUAL ATRIBUIBIL CE</t>
  </si>
  <si>
    <t>euro/km/luna</t>
  </si>
  <si>
    <t>drum judetean</t>
  </si>
  <si>
    <t>grad de ocupare</t>
  </si>
  <si>
    <t xml:space="preserve">CNAIR </t>
  </si>
  <si>
    <t>Lungime infrastructura (km)-2023</t>
  </si>
  <si>
    <t>Cheltuieli de intretinere(lei cu TVA) -2023</t>
  </si>
  <si>
    <t>Cheltuieli de intretinere (euro cu TVA)-2023</t>
  </si>
  <si>
    <t>Lungimea retelei de infrastr CNAIR (2023) (km)</t>
  </si>
  <si>
    <t>chelt intretinere/km infrastr.</t>
  </si>
  <si>
    <t xml:space="preserve">chelt intretinere/ml infrastr </t>
  </si>
  <si>
    <t>Sursa: rap. Administrator 2023, cap. 2.2.1 (pag 22)</t>
  </si>
  <si>
    <t>Intretinerea curenta pe timp de vara (plombari gropi, tratare burdusiri, decolmatari santuri si podete, intretinerea semnalizarii verticale si orizontale, intretinerea parapetilor)</t>
  </si>
  <si>
    <t>lei cu TVA</t>
  </si>
  <si>
    <t>Intretinerea curenta pe timp de iarna (materiale combatere lunecus, panouri parazapezi, deszapezire manuala si mecanica, informari privind starea drumurilor)</t>
  </si>
  <si>
    <t>intretinere DN (tratamente bituminoase, straturi bituminoase, covoare bituminoase, reciclare in situ)</t>
  </si>
  <si>
    <t>fara legatura de cauzalitate cu accesul subteran al cablurilor de CE</t>
  </si>
  <si>
    <t>reparatii curente (imbracaminte bituminoasa usoara)</t>
  </si>
  <si>
    <t>ranforsari sisteme rutiere</t>
  </si>
  <si>
    <t>lucrari extindere fenomene distructive si costuri reparatii, asigurarea desfasurarii in siguranta a traficului rutier</t>
  </si>
  <si>
    <t>intretinere lucrari de arta</t>
  </si>
  <si>
    <t>intretinere cladiri</t>
  </si>
  <si>
    <t>Intretinere si lucrari curente DRDP</t>
  </si>
  <si>
    <t>CNAIR</t>
  </si>
  <si>
    <t>RON</t>
  </si>
  <si>
    <t>Curs mediu EUR/RON 2023</t>
  </si>
  <si>
    <t>DRDP 1-8</t>
  </si>
  <si>
    <t>Orange</t>
  </si>
  <si>
    <t>Cifra de afaceri 2022</t>
  </si>
  <si>
    <t>Sursa: CNAIR, raportul administratorilor 2022</t>
  </si>
  <si>
    <t>Orange Romania</t>
  </si>
  <si>
    <t>Orange Romania Communications</t>
  </si>
  <si>
    <t>Vodafone</t>
  </si>
  <si>
    <t>din cifra de afaceri</t>
  </si>
  <si>
    <t>venituri din tarife de utilizare zona drumurilor</t>
  </si>
  <si>
    <t>pag 15</t>
  </si>
  <si>
    <t>Cifra de afaceri 2023</t>
  </si>
  <si>
    <t>pag 18</t>
  </si>
  <si>
    <t>Rezultat din exploatare</t>
  </si>
  <si>
    <t>pag 19</t>
  </si>
  <si>
    <t>Profit inaintea platii dobanzii si impozitului pe profit</t>
  </si>
  <si>
    <t>(rentabilitatea capitalului angajat)</t>
  </si>
  <si>
    <t>Capital angajat</t>
  </si>
  <si>
    <t>Sursa: CNAIR, raportul administratorilor 2023</t>
  </si>
  <si>
    <t>http://www.cnadnr.ro/sites/default/files/pagini-statice/Raportul%20administratorilor_1.pdf</t>
  </si>
  <si>
    <t>Drumuri si Poduri Dolj</t>
  </si>
  <si>
    <t>lei</t>
  </si>
  <si>
    <t>adresa SPLDP Dolj</t>
  </si>
  <si>
    <t>Venituri din contracte de acces</t>
  </si>
  <si>
    <t>Mfinante.ro</t>
  </si>
  <si>
    <r>
      <rPr>
        <sz val="9"/>
        <color rgb="FF0000FF"/>
        <rFont val="Verdana"/>
        <family val="2"/>
      </rPr>
      <t xml:space="preserve"> Fac parte integrantă din </t>
    </r>
    <r>
      <rPr>
        <b/>
        <sz val="9"/>
        <color rgb="FF0000FF"/>
        <rFont val="Verdana"/>
        <family val="2"/>
      </rPr>
      <t>drum</t>
    </r>
    <r>
      <rPr>
        <sz val="9"/>
        <color rgb="FF0000FF"/>
        <rFont val="Verdana"/>
        <family val="2"/>
      </rPr>
      <t>: ampriza și zonele de siguranță, suprastructura și infrastructura drumului, podurile, podețele, șanțurile, rigolele, viaductele, pasajele denivelate, zonele de sub pasajele rutiere, tunelurile și alte lucrări de artă, construcțiile de apărare, protecție și consolidare, trotuarele, pistele pentru cicliști, locurile de parcare, oprire și staționare, stațiile de taxare, bretelele de acces, drumurile tehnologice amenajate pentru întreținerea autostrăzilor, indicatoarele de semnalizare rutieră și alte dotări pentru siguranța circulației, sistemele inteligente de transport și instalațiile aferente, spațiile de serviciu sau control, spațiile cuprinse în triunghiul de vizibilitate din intersecții, spațiile cuprinse între autostradă și/sau drum și bretelele de acces, sistemele pentru protecția mediului, terenurile și plantațiile din zona drumului și perdelele de protecție</t>
    </r>
    <r>
      <rPr>
        <b/>
        <sz val="9"/>
        <color rgb="FF0000FF"/>
        <rFont val="Verdana"/>
        <family val="2"/>
      </rPr>
      <t>, mai puțin zonele de protecție. (OUG 43/1997, Art.2, alin (3))</t>
    </r>
  </si>
  <si>
    <r>
      <t xml:space="preserve"> </t>
    </r>
    <r>
      <rPr>
        <b/>
        <sz val="11"/>
        <color theme="1"/>
        <rFont val="Aptos Narrow"/>
        <family val="2"/>
        <scheme val="minor"/>
      </rPr>
      <t>Zona drumului public</t>
    </r>
    <r>
      <rPr>
        <sz val="11"/>
        <color theme="1"/>
        <rFont val="Aptos Narrow"/>
        <family val="2"/>
        <scheme val="minor"/>
      </rPr>
      <t xml:space="preserve"> cuprinde: ampriza, zonele de siguranță și zonele de protecție. (OUG 43/1997, Art. 14)</t>
    </r>
  </si>
  <si>
    <t>Categoria drumului</t>
  </si>
  <si>
    <t>Autostrăzi</t>
  </si>
  <si>
    <t>Drumuri naţionale</t>
  </si>
  <si>
    <t>Drumuri judeţene</t>
  </si>
  <si>
    <t>Drumuri comunale</t>
  </si>
  <si>
    <t>Distanţa de la marginea exterioară a zonei de siguranţă până la marginea zonei drumului (m)</t>
  </si>
  <si>
    <r>
      <rPr>
        <sz val="11"/>
        <color rgb="FF000000"/>
        <rFont val="Calibri"/>
        <family val="2"/>
      </rPr>
      <t>(</t>
    </r>
    <r>
      <rPr>
        <b/>
        <sz val="11"/>
        <color rgb="FF000000"/>
        <rFont val="Calibri"/>
        <family val="2"/>
      </rPr>
      <t>zonele de protecție</t>
    </r>
    <r>
      <rPr>
        <sz val="11"/>
        <color rgb="FF000000"/>
        <rFont val="Calibri"/>
        <family val="2"/>
      </rPr>
      <t xml:space="preserve"> sunt cuprinse între marginile exterioare ale zonelor de siguranță și marginile zonei drumului </t>
    </r>
  </si>
  <si>
    <t>conform tabelului următor, cf 4.5 d) OG 43/1997, cu modif ulterioare)</t>
  </si>
  <si>
    <t>Lățimea părții carosabile:
a) 15 m (14 m în condiții dificile de traseu), la autostrăzi;
b) 14 m la drumurile cu 4 benzi de circulație;
c) între 5,50 și 7 m, la drumurile cu două benzi de circulație;
d) 4 m, la drumurile cu o bandă de circulație;
e) 2,75 m, la drumurile vicinale.</t>
  </si>
  <si>
    <r>
      <t xml:space="preserve">
</t>
    </r>
    <r>
      <rPr>
        <b/>
        <sz val="9"/>
        <color rgb="FF0000FF"/>
        <rFont val="Verdana"/>
        <family val="2"/>
      </rPr>
      <t>Ampriza drumului</t>
    </r>
    <r>
      <rPr>
        <sz val="9"/>
        <color rgb="FF0000FF"/>
        <rFont val="Verdana"/>
        <family val="2"/>
      </rPr>
      <t xml:space="preserve"> este suprafața de teren ocupată de elemente constructive ale drumului: parte carosabilă, trotuare, piste pentru cicliști, acostamente, șanțuri, rigole, taluzuri, șanțuri de gardă, ziduri de sprijin și alte lucrări de artă. (OUG 43/1997, Articolul 15)</t>
    </r>
  </si>
  <si>
    <t>https://www.rombadconstruct.ro/zona-protectie-drumuri.html</t>
  </si>
  <si>
    <t xml:space="preserve">4.5. Limitele zonelor drumurilor, conform Ordonanței Guvernului nr. 43/1997 privind regimul drumurilor, </t>
  </si>
  <si>
    <t>republicată, cu modificările și completările ulterioare, sunt următoarele:</t>
  </si>
  <si>
    <r>
      <rPr>
        <sz val="11"/>
        <color rgb="FF000000"/>
        <rFont val="Aptos Narrow"/>
        <family val="2"/>
      </rPr>
      <t>a) </t>
    </r>
    <r>
      <rPr>
        <b/>
        <sz val="11"/>
        <color rgb="FF000000"/>
        <rFont val="Aptos Narrow"/>
        <family val="2"/>
      </rPr>
      <t xml:space="preserve">zonele de siguranță </t>
    </r>
    <r>
      <rPr>
        <sz val="11"/>
        <color rgb="FF000000"/>
        <rFont val="Aptos Narrow"/>
        <family val="2"/>
      </rPr>
      <t>ale drumurilor sunt cuprinse de la limita exterioară a amprizei drumului până la:</t>
    </r>
  </si>
  <si>
    <t>(i) 1,50 m - de la marginea exterioară a dispozitivelor de preluare a apelor meteorice, pentru drumurile situate la nivelul terenului;</t>
  </si>
  <si>
    <t>(ii) 2,00 m - de la piciorul taluzului, pentru drumurile în rambleu;</t>
  </si>
  <si>
    <t>(iii) 3,00 m - de la marginea de sus a taluzului, pentru drumurile în debleu cu înălțimea taluzului de până la 5,00 m inclusiv;</t>
  </si>
  <si>
    <t>(iv) 5,00 m - de la marginea de sus a taluzului, pentru drumurile în debleu cu înălțimea taluzului mai mare de 5,00 m;</t>
  </si>
  <si>
    <t>Legenda</t>
  </si>
  <si>
    <t>valori de intrare</t>
  </si>
  <si>
    <t>valori obtinute prin calcul</t>
  </si>
  <si>
    <t>m</t>
  </si>
  <si>
    <t>tarife actuale (euro/km/an, fara TVA)</t>
  </si>
  <si>
    <t xml:space="preserve">Sursa: operatori </t>
  </si>
  <si>
    <t xml:space="preserve">Sursa: raspuns CNAIR si rap administrator CNAIR </t>
  </si>
  <si>
    <t>paza, curatenie, intretinere parcari si gr sanitare, montare parapeti metalici</t>
  </si>
  <si>
    <t xml:space="preserve">Suprafata afectata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</si>
</sst>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 _R_O_N_-;\-* #,##0\ _R_O_N_-;_-* &quot;-&quot;??\ _R_O_N_-;_-@_-"/>
    <numFmt numFmtId="165" formatCode="_-* #,##0_-;\-* #,##0_-;_-* &quot;-&quot;??_-;_-@_-"/>
    <numFmt numFmtId="166" formatCode="_(* #,##0_);_(* \(#,##0\);_(* &quot;-&quot;??_);_(@_)"/>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
      <sz val="11"/>
      <name val="Tahoma"/>
      <family val="2"/>
    </font>
    <font>
      <i/>
      <sz val="11"/>
      <color theme="1"/>
      <name val="Aptos Narrow"/>
      <family val="2"/>
      <scheme val="minor"/>
    </font>
    <font>
      <b/>
      <sz val="11"/>
      <color rgb="FFFF0000"/>
      <name val="Aptos Narrow"/>
      <family val="2"/>
      <scheme val="minor"/>
    </font>
    <font>
      <sz val="11"/>
      <color rgb="FF000000"/>
      <name val="Tahoma"/>
      <family val="2"/>
    </font>
    <font>
      <sz val="11"/>
      <color rgb="FF000000"/>
      <name val="Aptos Narrow"/>
      <family val="2"/>
    </font>
    <font>
      <sz val="11"/>
      <color rgb="FF000000"/>
      <name val="Calibri"/>
      <family val="2"/>
    </font>
    <font>
      <b/>
      <sz val="11"/>
      <color rgb="FF000000"/>
      <name val="Aptos Narrow"/>
      <family val="2"/>
    </font>
    <font>
      <i/>
      <sz val="11"/>
      <color rgb="FF000000"/>
      <name val="Aptos Narrow"/>
      <family val="2"/>
    </font>
    <font>
      <u/>
      <sz val="11"/>
      <color theme="10"/>
      <name val="Aptos Narrow"/>
      <family val="2"/>
      <scheme val="minor"/>
    </font>
    <font>
      <sz val="9"/>
      <color rgb="FF0000FF"/>
      <name val="Verdana"/>
      <family val="2"/>
    </font>
    <font>
      <b/>
      <sz val="9"/>
      <color rgb="FF0000FF"/>
      <name val="Verdana"/>
      <family val="2"/>
    </font>
    <font>
      <b/>
      <sz val="11"/>
      <color rgb="FF000000"/>
      <name val="Calibri"/>
      <family val="2"/>
    </font>
    <font>
      <sz val="11"/>
      <color rgb="FF000000"/>
      <name val="Verdana"/>
      <family val="2"/>
    </font>
    <font>
      <sz val="11"/>
      <color rgb="FFFF0000"/>
      <name val="Aptos Narrow"/>
      <family val="2"/>
      <scheme val="minor"/>
    </font>
    <font>
      <i/>
      <sz val="11"/>
      <color rgb="FF000000"/>
      <name val="Tahoma"/>
      <family val="2"/>
    </font>
    <font>
      <b/>
      <u val="singleAccounting"/>
      <sz val="11"/>
      <color theme="1"/>
      <name val="Aptos Narrow"/>
      <family val="2"/>
      <scheme val="minor"/>
    </font>
    <font>
      <b/>
      <sz val="11"/>
      <name val="Tahoma"/>
      <family val="2"/>
    </font>
    <font>
      <sz val="11"/>
      <name val="Aptos Narrow"/>
      <family val="2"/>
      <scheme val="minor"/>
    </font>
    <font>
      <i/>
      <u/>
      <sz val="11"/>
      <color theme="10"/>
      <name val="Aptos Narrow"/>
      <family val="2"/>
      <scheme val="minor"/>
    </font>
    <font>
      <i/>
      <sz val="11"/>
      <color rgb="FFFF0000"/>
      <name val="Aptos Narrow"/>
      <family val="2"/>
      <scheme val="minor"/>
    </font>
    <font>
      <i/>
      <sz val="10"/>
      <color rgb="FFFF0000"/>
      <name val="Aptos Narrow"/>
      <family val="2"/>
      <scheme val="minor"/>
    </font>
    <font>
      <sz val="11"/>
      <color rgb="FFFF0000"/>
      <name val="Tahoma"/>
      <family val="2"/>
    </font>
    <font>
      <b/>
      <i/>
      <sz val="11"/>
      <color rgb="FFFF0000"/>
      <name val="Aptos Narrow"/>
      <family val="2"/>
      <scheme val="minor"/>
    </font>
    <font>
      <sz val="12"/>
      <name val="Aptos Narrow"/>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2"/>
        <bgColor rgb="FF000000"/>
      </patternFill>
    </fill>
    <fill>
      <patternFill patternType="solid">
        <fgColor theme="2"/>
        <bgColor indexed="64"/>
      </patternFill>
    </fill>
    <fill>
      <patternFill patternType="solid">
        <fgColor rgb="FFEEECE1"/>
        <bgColor rgb="FF000000"/>
      </patternFill>
    </fill>
    <fill>
      <patternFill patternType="solid">
        <fgColor rgb="FF92D050"/>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9" tint="0.79998168889431442"/>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338D"/>
      </left>
      <right/>
      <top style="thin">
        <color rgb="FF00338D"/>
      </top>
      <bottom/>
      <diagonal/>
    </border>
    <border>
      <left style="thin">
        <color indexed="64"/>
      </left>
      <right style="thin">
        <color indexed="64"/>
      </right>
      <top style="thin">
        <color indexed="64"/>
      </top>
      <bottom/>
      <diagonal/>
    </border>
    <border>
      <left/>
      <right/>
      <top/>
      <bottom style="thin">
        <color indexed="64"/>
      </bottom>
      <diagonal/>
    </border>
    <border>
      <left/>
      <right/>
      <top/>
      <bottom style="double">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73">
    <xf numFmtId="0" fontId="0" fillId="0" borderId="0" xfId="0"/>
    <xf numFmtId="0" fontId="0" fillId="0" borderId="1" xfId="0" applyBorder="1"/>
    <xf numFmtId="0" fontId="0" fillId="2" borderId="1" xfId="0" applyFill="1" applyBorder="1"/>
    <xf numFmtId="164" fontId="4" fillId="4" borderId="0" xfId="1" applyNumberFormat="1" applyFont="1" applyFill="1" applyBorder="1"/>
    <xf numFmtId="0" fontId="2" fillId="0" borderId="0" xfId="0" applyFont="1"/>
    <xf numFmtId="0" fontId="3" fillId="0" borderId="0" xfId="0" applyFont="1"/>
    <xf numFmtId="164" fontId="3" fillId="0" borderId="0" xfId="1" applyNumberFormat="1" applyFont="1" applyFill="1" applyBorder="1"/>
    <xf numFmtId="43" fontId="2" fillId="0" borderId="0" xfId="1" applyFont="1"/>
    <xf numFmtId="10" fontId="5" fillId="3" borderId="0" xfId="0" applyNumberFormat="1" applyFont="1" applyFill="1" applyAlignment="1">
      <alignment horizontal="center"/>
    </xf>
    <xf numFmtId="0" fontId="6" fillId="0" borderId="0" xfId="0" applyFont="1"/>
    <xf numFmtId="43" fontId="0" fillId="0" borderId="0" xfId="0" applyNumberFormat="1"/>
    <xf numFmtId="43" fontId="0" fillId="4" borderId="0" xfId="1" applyFont="1" applyFill="1"/>
    <xf numFmtId="164" fontId="2" fillId="0" borderId="0" xfId="0" applyNumberFormat="1" applyFont="1"/>
    <xf numFmtId="0" fontId="8" fillId="5" borderId="1" xfId="0" applyFont="1" applyFill="1" applyBorder="1" applyAlignment="1">
      <alignment vertical="top" wrapText="1"/>
    </xf>
    <xf numFmtId="0" fontId="0" fillId="0" borderId="0" xfId="0" applyAlignment="1">
      <alignment horizontal="center" vertical="center"/>
    </xf>
    <xf numFmtId="0" fontId="5" fillId="5" borderId="1" xfId="0" applyFont="1" applyFill="1" applyBorder="1" applyAlignment="1">
      <alignment wrapText="1"/>
    </xf>
    <xf numFmtId="43" fontId="2" fillId="0" borderId="1" xfId="1" applyFont="1" applyBorder="1"/>
    <xf numFmtId="43" fontId="2" fillId="0" borderId="0" xfId="1" applyFont="1" applyBorder="1"/>
    <xf numFmtId="43" fontId="0" fillId="0" borderId="0" xfId="0" applyNumberFormat="1" applyAlignment="1">
      <alignment horizontal="center" vertical="center"/>
    </xf>
    <xf numFmtId="43" fontId="2" fillId="0" borderId="0" xfId="1" applyFont="1" applyFill="1" applyBorder="1"/>
    <xf numFmtId="43" fontId="4" fillId="4" borderId="0" xfId="1" applyFont="1" applyFill="1" applyBorder="1" applyAlignment="1">
      <alignment horizontal="center"/>
    </xf>
    <xf numFmtId="0" fontId="5" fillId="0" borderId="0" xfId="0" applyFont="1" applyAlignment="1">
      <alignment wrapText="1"/>
    </xf>
    <xf numFmtId="10" fontId="5" fillId="0" borderId="0" xfId="0" applyNumberFormat="1" applyFont="1" applyAlignment="1">
      <alignment horizontal="center"/>
    </xf>
    <xf numFmtId="165" fontId="0" fillId="0" borderId="0" xfId="0" applyNumberFormat="1"/>
    <xf numFmtId="0" fontId="0" fillId="0" borderId="1" xfId="0" applyBorder="1" applyAlignment="1">
      <alignment wrapText="1"/>
    </xf>
    <xf numFmtId="0" fontId="0" fillId="0" borderId="0" xfId="0" applyAlignment="1">
      <alignment wrapText="1"/>
    </xf>
    <xf numFmtId="0" fontId="9" fillId="0" borderId="0" xfId="0" applyFont="1"/>
    <xf numFmtId="0" fontId="10" fillId="0" borderId="0" xfId="0" applyFont="1"/>
    <xf numFmtId="10" fontId="9" fillId="0" borderId="0" xfId="0" applyNumberFormat="1" applyFont="1"/>
    <xf numFmtId="0" fontId="12" fillId="0" borderId="0" xfId="0" applyFont="1"/>
    <xf numFmtId="10" fontId="9" fillId="0" borderId="0" xfId="2" applyNumberFormat="1" applyFont="1"/>
    <xf numFmtId="43" fontId="0" fillId="4" borderId="0" xfId="1" applyFont="1" applyFill="1" applyAlignment="1">
      <alignment horizontal="center"/>
    </xf>
    <xf numFmtId="10" fontId="9" fillId="6" borderId="0" xfId="2" applyNumberFormat="1" applyFont="1" applyFill="1"/>
    <xf numFmtId="0" fontId="0" fillId="6" borderId="0" xfId="0" applyFill="1"/>
    <xf numFmtId="43" fontId="0" fillId="4" borderId="6" xfId="1" applyFont="1" applyFill="1" applyBorder="1"/>
    <xf numFmtId="166" fontId="9" fillId="4" borderId="0" xfId="1" applyNumberFormat="1" applyFont="1" applyFill="1"/>
    <xf numFmtId="0" fontId="13" fillId="0" borderId="0" xfId="3"/>
    <xf numFmtId="0" fontId="2" fillId="0" borderId="0" xfId="0" applyFont="1" applyAlignment="1">
      <alignment horizontal="center" vertical="center"/>
    </xf>
    <xf numFmtId="43" fontId="2" fillId="0" borderId="0" xfId="1" applyFont="1" applyFill="1"/>
    <xf numFmtId="164" fontId="0" fillId="0" borderId="0" xfId="0" applyNumberFormat="1"/>
    <xf numFmtId="10" fontId="0" fillId="0" borderId="0" xfId="2" applyNumberFormat="1" applyFont="1"/>
    <xf numFmtId="43" fontId="0" fillId="0" borderId="0" xfId="1" applyFont="1"/>
    <xf numFmtId="166" fontId="6" fillId="0" borderId="0" xfId="1" applyNumberFormat="1" applyFont="1" applyAlignment="1">
      <alignment horizontal="center"/>
    </xf>
    <xf numFmtId="164" fontId="6" fillId="0" borderId="0" xfId="0" applyNumberFormat="1" applyFont="1" applyAlignment="1">
      <alignment horizontal="center"/>
    </xf>
    <xf numFmtId="43" fontId="11" fillId="0" borderId="7" xfId="0" applyNumberFormat="1" applyFont="1" applyBorder="1"/>
    <xf numFmtId="43" fontId="9" fillId="4" borderId="0" xfId="1" applyFont="1" applyFill="1"/>
    <xf numFmtId="0" fontId="14" fillId="0" borderId="0" xfId="0" applyFont="1"/>
    <xf numFmtId="0" fontId="0" fillId="0" borderId="8" xfId="0" applyBorder="1"/>
    <xf numFmtId="0" fontId="17" fillId="0" borderId="0" xfId="0" applyFont="1" applyAlignment="1">
      <alignment wrapText="1"/>
    </xf>
    <xf numFmtId="0" fontId="14" fillId="0" borderId="0" xfId="0" applyFont="1" applyAlignment="1">
      <alignment wrapText="1"/>
    </xf>
    <xf numFmtId="166" fontId="0" fillId="0" borderId="0" xfId="1" applyNumberFormat="1" applyFont="1"/>
    <xf numFmtId="43" fontId="11" fillId="0" borderId="0" xfId="0" applyNumberFormat="1" applyFont="1"/>
    <xf numFmtId="0" fontId="7" fillId="4" borderId="0" xfId="0" applyFont="1" applyFill="1"/>
    <xf numFmtId="10" fontId="0" fillId="6" borderId="0" xfId="2" applyNumberFormat="1" applyFont="1" applyFill="1"/>
    <xf numFmtId="0" fontId="0" fillId="0" borderId="0" xfId="0" applyAlignment="1">
      <alignment horizontal="center"/>
    </xf>
    <xf numFmtId="0" fontId="16" fillId="7" borderId="1" xfId="0" applyFont="1" applyFill="1" applyBorder="1"/>
    <xf numFmtId="0" fontId="16" fillId="7" borderId="1" xfId="0" applyFont="1" applyFill="1" applyBorder="1" applyAlignment="1">
      <alignment vertical="top" wrapText="1"/>
    </xf>
    <xf numFmtId="0" fontId="8" fillId="7" borderId="1" xfId="0" applyFont="1" applyFill="1" applyBorder="1" applyAlignment="1">
      <alignment wrapText="1"/>
    </xf>
    <xf numFmtId="4" fontId="8" fillId="7" borderId="1" xfId="0" applyNumberFormat="1" applyFont="1" applyFill="1" applyBorder="1"/>
    <xf numFmtId="0" fontId="8" fillId="7" borderId="1" xfId="0" applyFont="1" applyFill="1" applyBorder="1"/>
    <xf numFmtId="0" fontId="10" fillId="7" borderId="1" xfId="0" applyFont="1" applyFill="1" applyBorder="1"/>
    <xf numFmtId="43" fontId="8" fillId="7" borderId="1" xfId="1" applyFont="1" applyFill="1" applyBorder="1"/>
    <xf numFmtId="0" fontId="19" fillId="7" borderId="0" xfId="0" applyFont="1" applyFill="1" applyAlignment="1">
      <alignment wrapText="1"/>
    </xf>
    <xf numFmtId="0" fontId="8" fillId="0" borderId="1" xfId="0" applyFont="1" applyBorder="1" applyAlignment="1">
      <alignment wrapText="1"/>
    </xf>
    <xf numFmtId="3" fontId="8" fillId="3" borderId="1" xfId="0" applyNumberFormat="1" applyFont="1" applyFill="1" applyBorder="1"/>
    <xf numFmtId="166" fontId="0" fillId="4" borderId="1" xfId="1" applyNumberFormat="1" applyFont="1" applyFill="1" applyBorder="1"/>
    <xf numFmtId="166" fontId="0" fillId="0" borderId="0" xfId="0" applyNumberFormat="1" applyAlignment="1">
      <alignment horizontal="center" vertical="center"/>
    </xf>
    <xf numFmtId="43" fontId="0" fillId="0" borderId="0" xfId="1" applyFont="1" applyFill="1" applyBorder="1" applyAlignment="1">
      <alignment horizontal="center" vertical="center"/>
    </xf>
    <xf numFmtId="43" fontId="0" fillId="0" borderId="0" xfId="1" applyFont="1" applyFill="1"/>
    <xf numFmtId="0" fontId="11" fillId="0" borderId="0" xfId="0" applyFont="1"/>
    <xf numFmtId="164" fontId="0" fillId="8" borderId="0" xfId="0" applyNumberFormat="1" applyFill="1"/>
    <xf numFmtId="10" fontId="5" fillId="9" borderId="0" xfId="0" applyNumberFormat="1" applyFont="1" applyFill="1" applyAlignment="1">
      <alignment horizontal="center"/>
    </xf>
    <xf numFmtId="164" fontId="0" fillId="8" borderId="0" xfId="0" applyNumberFormat="1" applyFill="1" applyAlignment="1">
      <alignment horizontal="center"/>
    </xf>
    <xf numFmtId="43" fontId="0" fillId="8" borderId="0" xfId="1" applyFont="1" applyFill="1" applyAlignment="1">
      <alignment horizontal="center"/>
    </xf>
    <xf numFmtId="0" fontId="0" fillId="4" borderId="0" xfId="0" applyFill="1"/>
    <xf numFmtId="0" fontId="0" fillId="8" borderId="0" xfId="0" applyFill="1"/>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4" borderId="1" xfId="0" applyFill="1" applyBorder="1" applyAlignment="1">
      <alignment horizontal="center" vertical="center"/>
    </xf>
    <xf numFmtId="43" fontId="1" fillId="4" borderId="1" xfId="1" applyFont="1" applyFill="1" applyBorder="1" applyAlignment="1">
      <alignment horizontal="center" vertical="center"/>
    </xf>
    <xf numFmtId="43" fontId="2" fillId="0" borderId="1" xfId="1" applyFont="1" applyFill="1" applyBorder="1" applyAlignment="1">
      <alignment vertical="center" wrapText="1"/>
    </xf>
    <xf numFmtId="43" fontId="0" fillId="4" borderId="1" xfId="1" applyFont="1" applyFill="1" applyBorder="1"/>
    <xf numFmtId="43" fontId="0" fillId="0" borderId="0" xfId="1" applyFont="1" applyFill="1" applyBorder="1"/>
    <xf numFmtId="43" fontId="6" fillId="0" borderId="0" xfId="1" applyFont="1" applyAlignment="1">
      <alignment horizontal="center"/>
    </xf>
    <xf numFmtId="43" fontId="6" fillId="0" borderId="0" xfId="1" applyFont="1"/>
    <xf numFmtId="43" fontId="0" fillId="0" borderId="0" xfId="1" applyFont="1" applyAlignment="1">
      <alignment horizontal="center" vertical="center"/>
    </xf>
    <xf numFmtId="10" fontId="0" fillId="8" borderId="0" xfId="0" applyNumberFormat="1" applyFill="1" applyAlignment="1">
      <alignment horizontal="center" vertical="center"/>
    </xf>
    <xf numFmtId="0" fontId="8" fillId="0" borderId="0" xfId="0" applyFont="1"/>
    <xf numFmtId="0" fontId="8" fillId="0" borderId="1" xfId="0" applyFont="1" applyBorder="1" applyAlignment="1">
      <alignment vertical="top" wrapText="1"/>
    </xf>
    <xf numFmtId="43" fontId="8" fillId="0" borderId="1" xfId="1" applyFont="1" applyFill="1" applyBorder="1" applyAlignment="1">
      <alignment vertical="top" wrapText="1"/>
    </xf>
    <xf numFmtId="0" fontId="8" fillId="0" borderId="2" xfId="0" applyFont="1" applyBorder="1"/>
    <xf numFmtId="0" fontId="8" fillId="4" borderId="1" xfId="0" applyFont="1" applyFill="1" applyBorder="1" applyAlignment="1">
      <alignment horizontal="center"/>
    </xf>
    <xf numFmtId="43" fontId="8" fillId="4" borderId="3" xfId="1" applyFont="1" applyFill="1" applyBorder="1" applyAlignment="1">
      <alignment horizontal="center"/>
    </xf>
    <xf numFmtId="0" fontId="5" fillId="0" borderId="1" xfId="0" applyFont="1" applyBorder="1" applyAlignment="1">
      <alignment wrapText="1"/>
    </xf>
    <xf numFmtId="43" fontId="2" fillId="0" borderId="1" xfId="1" applyFont="1" applyFill="1" applyBorder="1"/>
    <xf numFmtId="43" fontId="0" fillId="8" borderId="1" xfId="0" applyNumberFormat="1" applyFill="1" applyBorder="1" applyAlignment="1">
      <alignment horizontal="center" vertical="center"/>
    </xf>
    <xf numFmtId="43" fontId="0" fillId="8" borderId="1" xfId="1" applyFont="1" applyFill="1" applyBorder="1"/>
    <xf numFmtId="0" fontId="8" fillId="4" borderId="0" xfId="0" applyFont="1" applyFill="1"/>
    <xf numFmtId="0" fontId="5" fillId="3" borderId="4" xfId="0" applyFont="1" applyFill="1" applyBorder="1" applyAlignment="1">
      <alignment wrapText="1"/>
    </xf>
    <xf numFmtId="0" fontId="8" fillId="3" borderId="5" xfId="0" applyFont="1" applyFill="1" applyBorder="1" applyAlignment="1">
      <alignment vertical="top" wrapText="1"/>
    </xf>
    <xf numFmtId="43" fontId="8" fillId="3" borderId="5" xfId="1" applyFont="1" applyFill="1" applyBorder="1" applyAlignment="1">
      <alignment vertical="top" wrapText="1"/>
    </xf>
    <xf numFmtId="43" fontId="0" fillId="8" borderId="1" xfId="1" applyFont="1" applyFill="1" applyBorder="1" applyAlignment="1">
      <alignment horizontal="center" vertical="center"/>
    </xf>
    <xf numFmtId="166" fontId="0" fillId="8" borderId="0" xfId="0" applyNumberFormat="1" applyFill="1" applyAlignment="1">
      <alignment horizontal="center" vertical="center"/>
    </xf>
    <xf numFmtId="166" fontId="0" fillId="8" borderId="1" xfId="0" applyNumberFormat="1" applyFill="1" applyBorder="1" applyAlignment="1">
      <alignment horizontal="center" vertical="center"/>
    </xf>
    <xf numFmtId="0" fontId="8" fillId="0" borderId="1" xfId="0" applyFont="1" applyBorder="1" applyAlignment="1">
      <alignment horizontal="center" vertical="top" wrapText="1"/>
    </xf>
    <xf numFmtId="43" fontId="8" fillId="0" borderId="1" xfId="1" applyFont="1" applyFill="1" applyBorder="1" applyAlignment="1">
      <alignment horizontal="center" vertical="top" wrapText="1"/>
    </xf>
    <xf numFmtId="0" fontId="21" fillId="0" borderId="1" xfId="0" applyFont="1" applyBorder="1" applyAlignment="1">
      <alignment wrapText="1"/>
    </xf>
    <xf numFmtId="43" fontId="0" fillId="4" borderId="0" xfId="1" applyFont="1" applyFill="1" applyAlignment="1">
      <alignment horizontal="center" vertical="center"/>
    </xf>
    <xf numFmtId="0" fontId="2" fillId="0" borderId="0" xfId="0" applyFont="1" applyAlignment="1">
      <alignment vertical="center" wrapText="1"/>
    </xf>
    <xf numFmtId="3" fontId="0" fillId="4" borderId="1" xfId="0" applyNumberFormat="1" applyFill="1" applyBorder="1" applyAlignment="1">
      <alignment horizontal="center" vertical="center"/>
    </xf>
    <xf numFmtId="43" fontId="0" fillId="4" borderId="1" xfId="1" applyFont="1" applyFill="1" applyBorder="1" applyAlignment="1">
      <alignment horizontal="center" vertical="center"/>
    </xf>
    <xf numFmtId="43" fontId="2" fillId="4" borderId="1" xfId="1" applyFont="1" applyFill="1" applyBorder="1" applyAlignment="1">
      <alignment horizontal="center" vertical="center"/>
    </xf>
    <xf numFmtId="43" fontId="2" fillId="4" borderId="1" xfId="1" applyFont="1" applyFill="1" applyBorder="1"/>
    <xf numFmtId="43" fontId="2" fillId="0" borderId="0" xfId="1" applyFont="1" applyFill="1" applyAlignment="1">
      <alignment horizontal="center" vertical="center"/>
    </xf>
    <xf numFmtId="43" fontId="0" fillId="8" borderId="0" xfId="1" applyFont="1" applyFill="1"/>
    <xf numFmtId="43" fontId="2" fillId="8" borderId="1" xfId="1" applyFont="1" applyFill="1" applyBorder="1" applyAlignment="1">
      <alignment horizontal="center" vertical="center"/>
    </xf>
    <xf numFmtId="43" fontId="2" fillId="8" borderId="1" xfId="0" applyNumberFormat="1" applyFont="1" applyFill="1" applyBorder="1" applyAlignment="1">
      <alignment horizontal="center" vertical="center"/>
    </xf>
    <xf numFmtId="0" fontId="8" fillId="0" borderId="1" xfId="0" applyFont="1" applyBorder="1"/>
    <xf numFmtId="0" fontId="8" fillId="3" borderId="1" xfId="0" applyFont="1" applyFill="1" applyBorder="1" applyAlignment="1">
      <alignment horizontal="center"/>
    </xf>
    <xf numFmtId="0" fontId="8" fillId="3" borderId="3" xfId="0" applyFont="1" applyFill="1" applyBorder="1" applyAlignment="1">
      <alignment horizontal="center"/>
    </xf>
    <xf numFmtId="43" fontId="0" fillId="8" borderId="1" xfId="0" applyNumberFormat="1" applyFill="1" applyBorder="1"/>
    <xf numFmtId="0" fontId="8" fillId="3" borderId="0" xfId="0" applyFont="1" applyFill="1"/>
    <xf numFmtId="0" fontId="5" fillId="0" borderId="4" xfId="0" applyFont="1" applyBorder="1" applyAlignment="1">
      <alignment wrapText="1"/>
    </xf>
    <xf numFmtId="0" fontId="8" fillId="0" borderId="5" xfId="0" applyFont="1" applyBorder="1" applyAlignment="1">
      <alignment vertical="top" wrapText="1"/>
    </xf>
    <xf numFmtId="43" fontId="0" fillId="8" borderId="0" xfId="0" applyNumberFormat="1" applyFill="1" applyAlignment="1">
      <alignment horizontal="center" vertical="center"/>
    </xf>
    <xf numFmtId="0" fontId="23" fillId="0" borderId="0" xfId="3" applyFont="1"/>
    <xf numFmtId="0" fontId="0" fillId="4" borderId="0" xfId="0" applyFill="1" applyAlignment="1">
      <alignment horizontal="left"/>
    </xf>
    <xf numFmtId="10" fontId="0" fillId="8" borderId="0" xfId="2" applyNumberFormat="1" applyFont="1" applyFill="1"/>
    <xf numFmtId="10" fontId="0" fillId="8" borderId="0" xfId="2" applyNumberFormat="1" applyFont="1" applyFill="1" applyAlignment="1">
      <alignment vertical="center"/>
    </xf>
    <xf numFmtId="164" fontId="0" fillId="8" borderId="0" xfId="0" applyNumberFormat="1" applyFill="1" applyAlignment="1">
      <alignment vertical="center"/>
    </xf>
    <xf numFmtId="43" fontId="0" fillId="8" borderId="0" xfId="1" applyFont="1" applyFill="1" applyAlignment="1">
      <alignment vertical="center"/>
    </xf>
    <xf numFmtId="0" fontId="8" fillId="4" borderId="3" xfId="0" applyFont="1" applyFill="1" applyBorder="1" applyAlignment="1">
      <alignment horizontal="center"/>
    </xf>
    <xf numFmtId="4" fontId="0" fillId="8" borderId="0" xfId="0" applyNumberFormat="1" applyFill="1"/>
    <xf numFmtId="0" fontId="2" fillId="0" borderId="0" xfId="0" applyFont="1" applyAlignment="1">
      <alignment horizontal="center" wrapText="1"/>
    </xf>
    <xf numFmtId="0" fontId="18" fillId="0" borderId="0" xfId="0" applyFont="1"/>
    <xf numFmtId="0" fontId="18" fillId="0" borderId="0" xfId="0" applyFont="1" applyAlignment="1">
      <alignment horizontal="center" vertical="center"/>
    </xf>
    <xf numFmtId="43" fontId="18" fillId="0" borderId="0" xfId="1" applyFont="1"/>
    <xf numFmtId="0" fontId="24" fillId="0" borderId="0" xfId="0" applyFont="1"/>
    <xf numFmtId="0" fontId="24" fillId="0" borderId="0" xfId="0" applyFont="1" applyAlignment="1">
      <alignment horizontal="center" vertical="center"/>
    </xf>
    <xf numFmtId="43" fontId="24" fillId="0" borderId="0" xfId="1" applyFont="1"/>
    <xf numFmtId="0" fontId="25" fillId="0" borderId="0" xfId="0" applyFont="1"/>
    <xf numFmtId="0" fontId="25" fillId="0" borderId="0" xfId="0" applyFont="1" applyAlignment="1">
      <alignment horizontal="center" vertical="center"/>
    </xf>
    <xf numFmtId="43" fontId="25" fillId="0" borderId="0" xfId="1" applyFont="1"/>
    <xf numFmtId="43" fontId="25" fillId="0" borderId="0" xfId="1" applyFont="1" applyAlignment="1">
      <alignment horizontal="center" vertical="center"/>
    </xf>
    <xf numFmtId="43" fontId="0" fillId="0" borderId="0" xfId="1" applyFont="1" applyFill="1" applyAlignment="1">
      <alignment horizontal="center"/>
    </xf>
    <xf numFmtId="9" fontId="18" fillId="0" borderId="0" xfId="2" applyFont="1" applyAlignment="1">
      <alignment horizontal="center" vertical="center"/>
    </xf>
    <xf numFmtId="9" fontId="24" fillId="0" borderId="0" xfId="2" applyFont="1" applyAlignment="1">
      <alignment horizontal="center" vertical="center"/>
    </xf>
    <xf numFmtId="0" fontId="26" fillId="0" borderId="0" xfId="0" applyFont="1"/>
    <xf numFmtId="43" fontId="7" fillId="0" borderId="0" xfId="1" applyFont="1" applyFill="1" applyBorder="1"/>
    <xf numFmtId="166" fontId="18" fillId="0" borderId="0" xfId="1" applyNumberFormat="1" applyFont="1"/>
    <xf numFmtId="43" fontId="1" fillId="8" borderId="1" xfId="1" applyFont="1" applyFill="1" applyBorder="1" applyAlignment="1">
      <alignment horizontal="center" vertical="center"/>
    </xf>
    <xf numFmtId="43" fontId="1" fillId="8" borderId="1" xfId="1" applyFont="1" applyFill="1" applyBorder="1"/>
    <xf numFmtId="43" fontId="27" fillId="0" borderId="0" xfId="1" applyFont="1" applyFill="1" applyBorder="1"/>
    <xf numFmtId="43" fontId="24" fillId="0" borderId="0" xfId="1" applyFont="1" applyAlignment="1">
      <alignment horizontal="center" vertical="center"/>
    </xf>
    <xf numFmtId="9" fontId="18" fillId="0" borderId="0" xfId="2" applyFont="1"/>
    <xf numFmtId="165" fontId="0" fillId="4" borderId="0" xfId="0" applyNumberFormat="1" applyFill="1"/>
    <xf numFmtId="164" fontId="28" fillId="4" borderId="0" xfId="1" applyNumberFormat="1" applyFont="1" applyFill="1" applyBorder="1"/>
    <xf numFmtId="9" fontId="0" fillId="0" borderId="0" xfId="2" applyFont="1" applyAlignment="1">
      <alignment horizontal="center" vertical="center"/>
    </xf>
    <xf numFmtId="43" fontId="18" fillId="0" borderId="0" xfId="0" applyNumberFormat="1" applyFont="1" applyAlignment="1">
      <alignment horizontal="center" vertical="center"/>
    </xf>
    <xf numFmtId="43" fontId="18" fillId="0" borderId="0" xfId="1" applyFont="1" applyFill="1" applyBorder="1" applyAlignment="1">
      <alignment horizontal="center" vertical="center"/>
    </xf>
    <xf numFmtId="0" fontId="22" fillId="0" borderId="0" xfId="0" applyFont="1" applyAlignment="1">
      <alignment horizontal="center"/>
    </xf>
    <xf numFmtId="43" fontId="0" fillId="0" borderId="1" xfId="1" applyFont="1" applyBorder="1"/>
    <xf numFmtId="2" fontId="8" fillId="4" borderId="1" xfId="0" applyNumberFormat="1" applyFont="1" applyFill="1" applyBorder="1" applyAlignment="1">
      <alignment horizontal="center"/>
    </xf>
    <xf numFmtId="43" fontId="0" fillId="0" borderId="0" xfId="1" applyFont="1" applyFill="1" applyBorder="1" applyAlignment="1">
      <alignment horizontal="left" vertical="center"/>
    </xf>
    <xf numFmtId="4" fontId="18" fillId="8" borderId="0" xfId="0" applyNumberFormat="1" applyFont="1" applyFill="1"/>
    <xf numFmtId="43" fontId="6" fillId="0" borderId="0" xfId="1" applyFont="1" applyAlignment="1">
      <alignment horizontal="center"/>
    </xf>
    <xf numFmtId="0" fontId="2" fillId="0" borderId="0" xfId="0" applyFont="1" applyAlignment="1">
      <alignment horizontal="center" wrapText="1"/>
    </xf>
    <xf numFmtId="0" fontId="6" fillId="0" borderId="0" xfId="0" applyFont="1" applyAlignment="1">
      <alignment horizontal="center"/>
    </xf>
    <xf numFmtId="0" fontId="0" fillId="0" borderId="0" xfId="0" applyAlignment="1">
      <alignment horizontal="center" wrapText="1"/>
    </xf>
    <xf numFmtId="43" fontId="22" fillId="0" borderId="0" xfId="1" applyFont="1" applyFill="1" applyAlignment="1">
      <alignment horizontal="center" wrapText="1"/>
    </xf>
    <xf numFmtId="0" fontId="14" fillId="0" borderId="0" xfId="0" applyFont="1" applyAlignment="1">
      <alignment horizontal="left" vertical="top" wrapText="1"/>
    </xf>
    <xf numFmtId="166" fontId="22" fillId="0" borderId="0" xfId="1" applyNumberFormat="1" applyFont="1"/>
    <xf numFmtId="43" fontId="22" fillId="4" borderId="0" xfId="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5</xdr:row>
      <xdr:rowOff>161925</xdr:rowOff>
    </xdr:from>
    <xdr:to>
      <xdr:col>11</xdr:col>
      <xdr:colOff>432435</xdr:colOff>
      <xdr:row>23</xdr:row>
      <xdr:rowOff>102870</xdr:rowOff>
    </xdr:to>
    <xdr:pic>
      <xdr:nvPicPr>
        <xdr:cNvPr id="2" name="Picture 1">
          <a:extLst>
            <a:ext uri="{FF2B5EF4-FFF2-40B4-BE49-F238E27FC236}">
              <a16:creationId xmlns:a16="http://schemas.microsoft.com/office/drawing/2014/main" id="{E5E2C55C-3C0A-4E4E-B2AF-2718A8E377AC}"/>
            </a:ext>
          </a:extLst>
        </xdr:cNvPr>
        <xdr:cNvPicPr>
          <a:picLocks noChangeAspect="1"/>
        </xdr:cNvPicPr>
      </xdr:nvPicPr>
      <xdr:blipFill>
        <a:blip xmlns:r="http://schemas.openxmlformats.org/officeDocument/2006/relationships" r:embed="rId1"/>
        <a:stretch>
          <a:fillRect/>
        </a:stretch>
      </xdr:blipFill>
      <xdr:spPr>
        <a:xfrm>
          <a:off x="6800850" y="1819275"/>
          <a:ext cx="7519035" cy="47796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xana Ionela Cirjan" id="{24722768-7EE6-4AAE-9C84-F22660980498}" userId="S::roxana.cirjan@ancom.ro::15356358-0656-4cdb-ac72-4b1edf30d6fd" providerId="AD"/>
  <person displayName="Anisoara Ionela Vlaicu" id="{23B7B3A2-6753-413F-92EC-7291A48EEA5F}" userId="S::anisoara.vlaicu@ancom.ro::32d02ba5-18e6-45e5-8bb9-1c2cd96b4c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2" dT="2024-07-23T13:53:42.69" personId="{24722768-7EE6-4AAE-9C84-F22660980498}" id="{2EB856C7-07D9-4A7C-92C7-7CCDE36DEFBF}">
    <text>Adresa CNAIR 45220/29.09.2023</text>
  </threadedComment>
</ThreadedComments>
</file>

<file path=xl/threadedComments/threadedComment2.xml><?xml version="1.0" encoding="utf-8"?>
<ThreadedComments xmlns="http://schemas.microsoft.com/office/spreadsheetml/2018/threadedcomments" xmlns:x="http://schemas.openxmlformats.org/spreadsheetml/2006/main">
  <threadedComment ref="A6" dT="2024-06-03T07:19:43.71" personId="{23B7B3A2-6753-413F-92EC-7291A48EEA5F}" id="{63BB2A7E-A960-4931-9389-B98FFACE5243}">
    <text xml:space="preserve">OUG 43/1997, Art. 17 (2) Zonele de protecție rămân în gospodărirea persoanelor juridice sau fizice care le au în administrare sau în proprietate, cu obligația ca acestea, prin activitatea lor, să nu aducă prejudicii drumului sau derulării în siguranță a traficului prin: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tatistici.insse.ro:8077/tempo-onlin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hyperlink" Target="http://www.cnadnr.ro/sites/default/files/pagini-statice/Raportul%20administratorilor_1.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legislatie.just.ro/Public/DetaliiDocumentAfis/268562" TargetMode="External"/><Relationship Id="rId1" Type="http://schemas.openxmlformats.org/officeDocument/2006/relationships/hyperlink" Target="https://www.rombadconstruct.ro/zona-protectie-drumuri.html"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FAB0-75CC-48AC-B211-44171A3D951B}">
  <sheetPr>
    <pageSetUpPr fitToPage="1"/>
  </sheetPr>
  <dimension ref="A1:I94"/>
  <sheetViews>
    <sheetView tabSelected="1" topLeftCell="A40" workbookViewId="0">
      <selection activeCell="J42" sqref="J42"/>
    </sheetView>
  </sheetViews>
  <sheetFormatPr defaultColWidth="20.7109375" defaultRowHeight="15" outlineLevelRow="1" x14ac:dyDescent="0.25"/>
  <cols>
    <col min="1" max="1" width="37" bestFit="1" customWidth="1"/>
    <col min="2" max="2" width="22.140625" style="14" customWidth="1"/>
    <col min="3" max="3" width="16.5703125" style="41" customWidth="1"/>
    <col min="4" max="4" width="13.42578125" style="41" customWidth="1"/>
    <col min="5" max="5" width="15.5703125" style="41" customWidth="1"/>
    <col min="6" max="6" width="12.85546875" style="41" customWidth="1"/>
    <col min="7" max="7" width="6.140625" customWidth="1"/>
    <col min="8" max="8" width="24" bestFit="1" customWidth="1"/>
    <col min="9" max="9" width="6" bestFit="1" customWidth="1"/>
  </cols>
  <sheetData>
    <row r="1" spans="1:8" ht="60" x14ac:dyDescent="0.25">
      <c r="A1" s="76" t="s">
        <v>0</v>
      </c>
      <c r="B1" s="77" t="s">
        <v>1</v>
      </c>
      <c r="C1" s="80" t="s">
        <v>2</v>
      </c>
      <c r="D1" s="80" t="s">
        <v>3</v>
      </c>
      <c r="E1" s="80" t="s">
        <v>4</v>
      </c>
      <c r="F1" s="80" t="s">
        <v>5</v>
      </c>
      <c r="H1" s="108" t="s">
        <v>130</v>
      </c>
    </row>
    <row r="2" spans="1:8" hidden="1" outlineLevel="1" x14ac:dyDescent="0.25">
      <c r="A2" s="1">
        <v>1</v>
      </c>
      <c r="B2" s="78">
        <v>26.35</v>
      </c>
      <c r="C2" s="81">
        <v>884.12</v>
      </c>
      <c r="D2" s="96">
        <f>C2/4.977</f>
        <v>177.6411492867189</v>
      </c>
      <c r="E2" s="96">
        <f>C2/B2</f>
        <v>33.55294117647059</v>
      </c>
      <c r="F2" s="96">
        <f>E2/4.977</f>
        <v>6.7415995934238673</v>
      </c>
      <c r="H2" s="74" t="s">
        <v>131</v>
      </c>
    </row>
    <row r="3" spans="1:8" hidden="1" outlineLevel="1" x14ac:dyDescent="0.25">
      <c r="A3" s="1">
        <v>2</v>
      </c>
      <c r="B3" s="78">
        <v>24.59</v>
      </c>
      <c r="C3" s="81">
        <v>1495.9069999999999</v>
      </c>
      <c r="D3" s="96">
        <f t="shared" ref="D3:D32" si="0">C3/4.977</f>
        <v>300.56399437412091</v>
      </c>
      <c r="E3" s="96">
        <f t="shared" ref="E3:E32" si="1">C3/B3</f>
        <v>60.833956893045951</v>
      </c>
      <c r="F3" s="96">
        <f t="shared" ref="F3:F32" si="2">E3/4.977</f>
        <v>12.223017257995972</v>
      </c>
      <c r="H3" s="75" t="s">
        <v>132</v>
      </c>
    </row>
    <row r="4" spans="1:8" hidden="1" outlineLevel="1" x14ac:dyDescent="0.25">
      <c r="A4" s="1">
        <v>3</v>
      </c>
      <c r="B4" s="78">
        <v>12.24</v>
      </c>
      <c r="C4" s="161">
        <v>836.88900000000001</v>
      </c>
      <c r="D4" s="96">
        <f t="shared" si="0"/>
        <v>168.15129596142253</v>
      </c>
      <c r="E4" s="96">
        <f t="shared" si="1"/>
        <v>68.373284313725492</v>
      </c>
      <c r="F4" s="96">
        <f t="shared" si="2"/>
        <v>13.737850977240404</v>
      </c>
    </row>
    <row r="5" spans="1:8" hidden="1" outlineLevel="1" x14ac:dyDescent="0.25">
      <c r="A5" s="1">
        <v>4</v>
      </c>
      <c r="B5" s="78">
        <v>4.47</v>
      </c>
      <c r="C5" s="81">
        <v>312.63</v>
      </c>
      <c r="D5" s="96">
        <f t="shared" si="0"/>
        <v>62.814948764315851</v>
      </c>
      <c r="E5" s="96">
        <f t="shared" si="1"/>
        <v>69.939597315436245</v>
      </c>
      <c r="F5" s="96">
        <f t="shared" si="2"/>
        <v>14.05256124481339</v>
      </c>
    </row>
    <row r="6" spans="1:8" hidden="1" outlineLevel="1" x14ac:dyDescent="0.25">
      <c r="A6" s="1">
        <v>5</v>
      </c>
      <c r="B6" s="78">
        <v>17.5</v>
      </c>
      <c r="C6" s="81">
        <v>815.07</v>
      </c>
      <c r="D6" s="96">
        <f t="shared" si="0"/>
        <v>163.76732971669679</v>
      </c>
      <c r="E6" s="96">
        <f t="shared" si="1"/>
        <v>46.575428571428574</v>
      </c>
      <c r="F6" s="96">
        <f t="shared" si="2"/>
        <v>9.3581331266683883</v>
      </c>
    </row>
    <row r="7" spans="1:8" hidden="1" outlineLevel="1" x14ac:dyDescent="0.25">
      <c r="A7" s="1">
        <v>6</v>
      </c>
      <c r="B7" s="78">
        <v>8.5</v>
      </c>
      <c r="C7" s="81">
        <v>397.99</v>
      </c>
      <c r="D7" s="96">
        <f t="shared" si="0"/>
        <v>79.965842877235275</v>
      </c>
      <c r="E7" s="96">
        <f t="shared" si="1"/>
        <v>46.822352941176469</v>
      </c>
      <c r="F7" s="96">
        <f t="shared" si="2"/>
        <v>9.4077462208512088</v>
      </c>
    </row>
    <row r="8" spans="1:8" hidden="1" outlineLevel="1" x14ac:dyDescent="0.25">
      <c r="A8" s="1">
        <v>7</v>
      </c>
      <c r="B8" s="78">
        <v>16.93</v>
      </c>
      <c r="C8" s="81">
        <v>830.68</v>
      </c>
      <c r="D8" s="96">
        <f t="shared" si="0"/>
        <v>166.90375728350409</v>
      </c>
      <c r="E8" s="96">
        <f t="shared" si="1"/>
        <v>49.065564087418778</v>
      </c>
      <c r="F8" s="96">
        <f t="shared" si="2"/>
        <v>9.8584617414946312</v>
      </c>
    </row>
    <row r="9" spans="1:8" hidden="1" outlineLevel="1" x14ac:dyDescent="0.25">
      <c r="A9" s="1">
        <v>8</v>
      </c>
      <c r="B9" s="78">
        <v>17.965</v>
      </c>
      <c r="C9" s="81">
        <v>853.42200000000003</v>
      </c>
      <c r="D9" s="96">
        <f t="shared" si="0"/>
        <v>171.47317661241712</v>
      </c>
      <c r="E9" s="96">
        <f t="shared" si="1"/>
        <v>47.504703590314499</v>
      </c>
      <c r="F9" s="96">
        <f t="shared" si="2"/>
        <v>9.5448470143288109</v>
      </c>
    </row>
    <row r="10" spans="1:8" hidden="1" outlineLevel="1" x14ac:dyDescent="0.25">
      <c r="A10" s="1">
        <v>9</v>
      </c>
      <c r="B10" s="78">
        <v>14.253</v>
      </c>
      <c r="C10" s="81">
        <v>2100</v>
      </c>
      <c r="D10" s="96">
        <f t="shared" si="0"/>
        <v>421.94092827004215</v>
      </c>
      <c r="E10" s="96">
        <f t="shared" si="1"/>
        <v>147.33740265207325</v>
      </c>
      <c r="F10" s="96">
        <f t="shared" si="2"/>
        <v>29.60365735424417</v>
      </c>
    </row>
    <row r="11" spans="1:8" hidden="1" outlineLevel="1" x14ac:dyDescent="0.25">
      <c r="A11" s="1">
        <v>10</v>
      </c>
      <c r="B11" s="78">
        <v>19.922000000000001</v>
      </c>
      <c r="C11" s="81">
        <v>1549</v>
      </c>
      <c r="D11" s="96">
        <f t="shared" si="0"/>
        <v>311.23166566204537</v>
      </c>
      <c r="E11" s="96">
        <f t="shared" si="1"/>
        <v>77.753237626744294</v>
      </c>
      <c r="F11" s="96">
        <f t="shared" si="2"/>
        <v>15.622511076299837</v>
      </c>
    </row>
    <row r="12" spans="1:8" hidden="1" outlineLevel="1" x14ac:dyDescent="0.25">
      <c r="A12" s="1">
        <v>11</v>
      </c>
      <c r="B12" s="78">
        <v>17.61</v>
      </c>
      <c r="C12" s="81">
        <v>1773</v>
      </c>
      <c r="D12" s="96">
        <f t="shared" si="0"/>
        <v>356.23869801084987</v>
      </c>
      <c r="E12" s="96">
        <f t="shared" si="1"/>
        <v>100.68143100511074</v>
      </c>
      <c r="F12" s="96">
        <f t="shared" si="2"/>
        <v>20.229341170406013</v>
      </c>
    </row>
    <row r="13" spans="1:8" hidden="1" outlineLevel="1" x14ac:dyDescent="0.25">
      <c r="A13" s="1">
        <v>12</v>
      </c>
      <c r="B13" s="78">
        <v>16.265000000000001</v>
      </c>
      <c r="C13" s="81">
        <v>1198.106</v>
      </c>
      <c r="D13" s="96">
        <f t="shared" si="0"/>
        <v>240.72855133614627</v>
      </c>
      <c r="E13" s="96">
        <f t="shared" si="1"/>
        <v>73.661604672609897</v>
      </c>
      <c r="F13" s="96">
        <f t="shared" si="2"/>
        <v>14.80040278734376</v>
      </c>
    </row>
    <row r="14" spans="1:8" hidden="1" outlineLevel="1" x14ac:dyDescent="0.25">
      <c r="A14" s="1">
        <v>13</v>
      </c>
      <c r="B14" s="78">
        <v>37.4</v>
      </c>
      <c r="C14" s="81">
        <v>5324</v>
      </c>
      <c r="D14" s="96">
        <f t="shared" si="0"/>
        <v>1069.7207152903354</v>
      </c>
      <c r="E14" s="96">
        <f t="shared" si="1"/>
        <v>142.35294117647058</v>
      </c>
      <c r="F14" s="96">
        <f t="shared" si="2"/>
        <v>28.602158162843192</v>
      </c>
    </row>
    <row r="15" spans="1:8" hidden="1" outlineLevel="1" x14ac:dyDescent="0.25">
      <c r="A15" s="1">
        <v>14</v>
      </c>
      <c r="B15" s="78">
        <v>31.33</v>
      </c>
      <c r="C15" s="81">
        <v>4250.01</v>
      </c>
      <c r="D15" s="96">
        <f t="shared" si="0"/>
        <v>853.93007836045808</v>
      </c>
      <c r="E15" s="96">
        <f t="shared" si="1"/>
        <v>135.65304819661668</v>
      </c>
      <c r="F15" s="96">
        <f t="shared" si="2"/>
        <v>27.255987180352957</v>
      </c>
    </row>
    <row r="16" spans="1:8" hidden="1" outlineLevel="1" x14ac:dyDescent="0.25">
      <c r="A16" s="1">
        <v>15</v>
      </c>
      <c r="B16" s="78">
        <v>30.35</v>
      </c>
      <c r="C16" s="81">
        <v>1710</v>
      </c>
      <c r="D16" s="96">
        <f t="shared" si="0"/>
        <v>343.58047016274861</v>
      </c>
      <c r="E16" s="96">
        <f t="shared" si="1"/>
        <v>56.342668863261942</v>
      </c>
      <c r="F16" s="96">
        <f t="shared" si="2"/>
        <v>11.320608572083973</v>
      </c>
    </row>
    <row r="17" spans="1:6" hidden="1" outlineLevel="1" x14ac:dyDescent="0.25">
      <c r="A17" s="1">
        <v>16</v>
      </c>
      <c r="B17" s="78">
        <v>9.86</v>
      </c>
      <c r="C17" s="81">
        <v>1678.87</v>
      </c>
      <c r="D17" s="96">
        <f t="shared" si="0"/>
        <v>337.32569821177412</v>
      </c>
      <c r="E17" s="96">
        <f t="shared" si="1"/>
        <v>170.27079107505071</v>
      </c>
      <c r="F17" s="96">
        <f t="shared" si="2"/>
        <v>34.211531258800626</v>
      </c>
    </row>
    <row r="18" spans="1:6" hidden="1" outlineLevel="1" x14ac:dyDescent="0.25">
      <c r="A18" s="1">
        <v>17</v>
      </c>
      <c r="B18" s="78">
        <v>30.3</v>
      </c>
      <c r="C18" s="81">
        <v>1638.32</v>
      </c>
      <c r="D18" s="96">
        <f t="shared" si="0"/>
        <v>329.17821981113116</v>
      </c>
      <c r="E18" s="96">
        <f t="shared" si="1"/>
        <v>54.069966996699669</v>
      </c>
      <c r="F18" s="96">
        <f t="shared" si="2"/>
        <v>10.863967650532382</v>
      </c>
    </row>
    <row r="19" spans="1:6" hidden="1" outlineLevel="1" x14ac:dyDescent="0.25">
      <c r="A19" s="1">
        <v>18</v>
      </c>
      <c r="B19" s="78">
        <v>4.5999999999999996</v>
      </c>
      <c r="C19" s="81">
        <v>689.29</v>
      </c>
      <c r="D19" s="96">
        <f t="shared" si="0"/>
        <v>138.49507735583683</v>
      </c>
      <c r="E19" s="96">
        <f t="shared" si="1"/>
        <v>149.84565217391304</v>
      </c>
      <c r="F19" s="96">
        <f t="shared" si="2"/>
        <v>30.107625512138444</v>
      </c>
    </row>
    <row r="20" spans="1:6" hidden="1" outlineLevel="1" x14ac:dyDescent="0.25">
      <c r="A20" s="1">
        <v>19</v>
      </c>
      <c r="B20" s="78">
        <v>35.6</v>
      </c>
      <c r="C20" s="81">
        <v>2354.627</v>
      </c>
      <c r="D20" s="96">
        <f t="shared" si="0"/>
        <v>473.10166767128788</v>
      </c>
      <c r="E20" s="96">
        <f t="shared" si="1"/>
        <v>66.141207865168539</v>
      </c>
      <c r="F20" s="96">
        <f t="shared" si="2"/>
        <v>13.289372687395728</v>
      </c>
    </row>
    <row r="21" spans="1:6" hidden="1" outlineLevel="1" x14ac:dyDescent="0.25">
      <c r="A21" s="1">
        <v>20</v>
      </c>
      <c r="B21" s="78">
        <v>21</v>
      </c>
      <c r="C21" s="81">
        <v>1468</v>
      </c>
      <c r="D21" s="96">
        <f t="shared" si="0"/>
        <v>294.95680128591522</v>
      </c>
      <c r="E21" s="96">
        <f t="shared" si="1"/>
        <v>69.904761904761898</v>
      </c>
      <c r="F21" s="96">
        <f t="shared" si="2"/>
        <v>14.04556196599596</v>
      </c>
    </row>
    <row r="22" spans="1:6" hidden="1" outlineLevel="1" x14ac:dyDescent="0.25">
      <c r="A22" s="1">
        <v>21</v>
      </c>
      <c r="B22" s="78">
        <f>19.095+4.328</f>
        <v>23.422999999999998</v>
      </c>
      <c r="C22" s="81">
        <v>1996</v>
      </c>
      <c r="D22" s="96">
        <f t="shared" si="0"/>
        <v>401.04480610809725</v>
      </c>
      <c r="E22" s="96">
        <f t="shared" si="1"/>
        <v>85.215386585834437</v>
      </c>
      <c r="F22" s="96">
        <f t="shared" si="2"/>
        <v>17.121837770913086</v>
      </c>
    </row>
    <row r="23" spans="1:6" hidden="1" outlineLevel="1" x14ac:dyDescent="0.25">
      <c r="A23" s="1">
        <v>22</v>
      </c>
      <c r="B23" s="78">
        <v>13.16</v>
      </c>
      <c r="C23" s="81">
        <v>1830</v>
      </c>
      <c r="D23" s="96">
        <f t="shared" si="0"/>
        <v>367.69138034960815</v>
      </c>
      <c r="E23" s="96">
        <f t="shared" si="1"/>
        <v>139.05775075987842</v>
      </c>
      <c r="F23" s="96">
        <f t="shared" si="2"/>
        <v>27.940074494651075</v>
      </c>
    </row>
    <row r="24" spans="1:6" hidden="1" outlineLevel="1" x14ac:dyDescent="0.25">
      <c r="A24" s="1">
        <v>23</v>
      </c>
      <c r="B24" s="78">
        <v>18.998999999999999</v>
      </c>
      <c r="C24" s="81">
        <v>1277.95</v>
      </c>
      <c r="D24" s="96">
        <f t="shared" si="0"/>
        <v>256.77114727747636</v>
      </c>
      <c r="E24" s="96">
        <f t="shared" si="1"/>
        <v>67.26406652981737</v>
      </c>
      <c r="F24" s="96">
        <f t="shared" si="2"/>
        <v>13.514982224194769</v>
      </c>
    </row>
    <row r="25" spans="1:6" hidden="1" outlineLevel="1" x14ac:dyDescent="0.25">
      <c r="A25" s="1">
        <v>24</v>
      </c>
      <c r="B25" s="78">
        <v>28.094000000000001</v>
      </c>
      <c r="C25" s="81">
        <v>1765.93</v>
      </c>
      <c r="D25" s="96">
        <f t="shared" si="0"/>
        <v>354.81816355234076</v>
      </c>
      <c r="E25" s="96">
        <f t="shared" si="1"/>
        <v>62.857905602619773</v>
      </c>
      <c r="F25" s="96">
        <f t="shared" si="2"/>
        <v>12.629677637657178</v>
      </c>
    </row>
    <row r="26" spans="1:6" hidden="1" outlineLevel="1" x14ac:dyDescent="0.25">
      <c r="A26" s="1">
        <v>25</v>
      </c>
      <c r="B26" s="78">
        <v>38.78</v>
      </c>
      <c r="C26" s="81">
        <v>2485.1590000000001</v>
      </c>
      <c r="D26" s="96">
        <f t="shared" si="0"/>
        <v>499.32871207554751</v>
      </c>
      <c r="E26" s="96">
        <f t="shared" si="1"/>
        <v>64.083522434244458</v>
      </c>
      <c r="F26" s="96">
        <f t="shared" si="2"/>
        <v>12.875933782247229</v>
      </c>
    </row>
    <row r="27" spans="1:6" hidden="1" outlineLevel="1" x14ac:dyDescent="0.25">
      <c r="A27" s="1">
        <v>26</v>
      </c>
      <c r="B27" s="78">
        <v>21.521999999999998</v>
      </c>
      <c r="C27" s="81">
        <v>1673.768</v>
      </c>
      <c r="D27" s="96">
        <f t="shared" si="0"/>
        <v>336.30058268032951</v>
      </c>
      <c r="E27" s="96">
        <f t="shared" si="1"/>
        <v>77.770095716011525</v>
      </c>
      <c r="F27" s="96">
        <f t="shared" si="2"/>
        <v>15.62589827526854</v>
      </c>
    </row>
    <row r="28" spans="1:6" hidden="1" outlineLevel="1" x14ac:dyDescent="0.25">
      <c r="A28" s="1">
        <v>27</v>
      </c>
      <c r="B28" s="78">
        <v>30.8</v>
      </c>
      <c r="C28" s="81">
        <v>1317.0730000000001</v>
      </c>
      <c r="D28" s="96">
        <f t="shared" si="0"/>
        <v>264.63190677114727</v>
      </c>
      <c r="E28" s="96">
        <f t="shared" si="1"/>
        <v>42.762110389610392</v>
      </c>
      <c r="F28" s="96">
        <f t="shared" si="2"/>
        <v>8.5919450250372496</v>
      </c>
    </row>
    <row r="29" spans="1:6" hidden="1" outlineLevel="1" x14ac:dyDescent="0.25">
      <c r="A29" s="1">
        <v>28</v>
      </c>
      <c r="B29" s="78">
        <v>36.1</v>
      </c>
      <c r="C29" s="81">
        <v>1469.39</v>
      </c>
      <c r="D29" s="96">
        <f t="shared" si="0"/>
        <v>295.23608599557969</v>
      </c>
      <c r="E29" s="96">
        <f t="shared" si="1"/>
        <v>40.703324099722991</v>
      </c>
      <c r="F29" s="96">
        <f t="shared" si="2"/>
        <v>8.178284930625475</v>
      </c>
    </row>
    <row r="30" spans="1:6" hidden="1" outlineLevel="1" x14ac:dyDescent="0.25">
      <c r="A30" s="1">
        <v>29</v>
      </c>
      <c r="B30" s="78">
        <v>10.94</v>
      </c>
      <c r="C30" s="81">
        <v>763.72</v>
      </c>
      <c r="D30" s="96">
        <f t="shared" si="0"/>
        <v>153.44986939923649</v>
      </c>
      <c r="E30" s="96">
        <f t="shared" si="1"/>
        <v>69.809872029250457</v>
      </c>
      <c r="F30" s="96">
        <f t="shared" si="2"/>
        <v>14.026496288778471</v>
      </c>
    </row>
    <row r="31" spans="1:6" hidden="1" outlineLevel="1" x14ac:dyDescent="0.25">
      <c r="A31" s="1">
        <v>30</v>
      </c>
      <c r="B31" s="78">
        <v>28.35</v>
      </c>
      <c r="C31" s="81">
        <v>1249</v>
      </c>
      <c r="D31" s="96">
        <f t="shared" si="0"/>
        <v>250.95439019489652</v>
      </c>
      <c r="E31" s="96">
        <f t="shared" si="1"/>
        <v>44.056437389770721</v>
      </c>
      <c r="F31" s="96">
        <f t="shared" si="2"/>
        <v>8.8520067088146916</v>
      </c>
    </row>
    <row r="32" spans="1:6" hidden="1" outlineLevel="1" x14ac:dyDescent="0.25">
      <c r="A32" s="1">
        <v>31</v>
      </c>
      <c r="B32" s="78">
        <v>13.9</v>
      </c>
      <c r="C32" s="81">
        <v>1093</v>
      </c>
      <c r="D32" s="96">
        <f t="shared" si="0"/>
        <v>219.61020695197908</v>
      </c>
      <c r="E32" s="96">
        <f t="shared" si="1"/>
        <v>78.633093525179859</v>
      </c>
      <c r="F32" s="96">
        <f t="shared" si="2"/>
        <v>15.799295464171157</v>
      </c>
    </row>
    <row r="33" spans="1:8" collapsed="1" x14ac:dyDescent="0.25">
      <c r="A33" s="1" t="s">
        <v>6</v>
      </c>
      <c r="B33" s="78">
        <f>SUM(B2:B32)</f>
        <v>661.10300000000018</v>
      </c>
      <c r="C33" s="79">
        <f>SUM(C2:C32)</f>
        <v>49080.920999999995</v>
      </c>
      <c r="D33" s="150">
        <f>SUM(D2:D32)</f>
        <v>9861.5473176612377</v>
      </c>
      <c r="E33" s="151">
        <f>C33/B33</f>
        <v>74.240959426897149</v>
      </c>
      <c r="F33" s="96">
        <f>D33/B33</f>
        <v>14.916809207735005</v>
      </c>
    </row>
    <row r="34" spans="1:8" x14ac:dyDescent="0.25">
      <c r="A34" s="4"/>
      <c r="B34" s="37"/>
      <c r="C34" s="82"/>
      <c r="D34" s="82"/>
      <c r="E34" s="82"/>
      <c r="F34" s="82"/>
    </row>
    <row r="35" spans="1:8" x14ac:dyDescent="0.25">
      <c r="A35" s="4"/>
      <c r="B35" s="37"/>
      <c r="C35" s="7"/>
      <c r="D35" s="7"/>
      <c r="E35" s="7"/>
      <c r="F35" s="7"/>
    </row>
    <row r="36" spans="1:8" ht="15.75" x14ac:dyDescent="0.25">
      <c r="A36" s="5" t="s">
        <v>7</v>
      </c>
      <c r="B36" s="86">
        <f>'% in CA'!D17</f>
        <v>3.7242783409694898E-2</v>
      </c>
      <c r="C36" s="7"/>
      <c r="D36" s="19"/>
      <c r="E36" s="7"/>
      <c r="F36" s="7"/>
    </row>
    <row r="38" spans="1:8" ht="15.75" x14ac:dyDescent="0.25">
      <c r="A38" s="5" t="s">
        <v>8</v>
      </c>
      <c r="B38" s="156">
        <v>25</v>
      </c>
      <c r="C38" s="41" t="s">
        <v>9</v>
      </c>
    </row>
    <row r="39" spans="1:8" ht="15.75" x14ac:dyDescent="0.25">
      <c r="A39" s="5"/>
      <c r="B39" s="6"/>
      <c r="C39" s="7"/>
      <c r="D39" s="165"/>
      <c r="E39" s="165"/>
    </row>
    <row r="40" spans="1:8" x14ac:dyDescent="0.25">
      <c r="A40" s="38" t="s">
        <v>10</v>
      </c>
      <c r="B40" s="70">
        <f>-PMT(B36,B38,C33*10^6)</f>
        <v>3050874422.9541144</v>
      </c>
      <c r="C40" s="41" t="s">
        <v>11</v>
      </c>
      <c r="D40" s="83"/>
      <c r="E40" s="83"/>
      <c r="H40" s="10"/>
    </row>
    <row r="41" spans="1:8" x14ac:dyDescent="0.25">
      <c r="G41" s="10"/>
      <c r="H41" s="10"/>
    </row>
    <row r="42" spans="1:8" ht="29.25" x14ac:dyDescent="0.25">
      <c r="A42" s="21" t="s">
        <v>12</v>
      </c>
      <c r="B42" s="71">
        <f>'% in CA'!D5</f>
        <v>2.6415078854486358E-2</v>
      </c>
      <c r="C42" s="84" t="s">
        <v>136</v>
      </c>
      <c r="D42" s="84"/>
    </row>
    <row r="43" spans="1:8" x14ac:dyDescent="0.25">
      <c r="A43" s="21"/>
      <c r="B43" s="22"/>
      <c r="C43" s="84"/>
      <c r="D43" s="84"/>
    </row>
    <row r="44" spans="1:8" x14ac:dyDescent="0.25">
      <c r="A44" s="7" t="s">
        <v>13</v>
      </c>
      <c r="B44" s="72">
        <f>B40*B42/4.977</f>
        <v>16192302.281990856</v>
      </c>
      <c r="C44" s="7" t="s">
        <v>14</v>
      </c>
    </row>
    <row r="45" spans="1:8" x14ac:dyDescent="0.25">
      <c r="A45" s="7" t="s">
        <v>13</v>
      </c>
      <c r="B45" s="72">
        <f>B44/12</f>
        <v>1349358.5234992381</v>
      </c>
      <c r="C45" s="7" t="s">
        <v>15</v>
      </c>
    </row>
    <row r="46" spans="1:8" x14ac:dyDescent="0.25">
      <c r="A46" s="7" t="s">
        <v>13</v>
      </c>
      <c r="B46" s="73">
        <f>B45/B33/1000</f>
        <v>2.041071547851451</v>
      </c>
      <c r="C46" s="7" t="s">
        <v>16</v>
      </c>
    </row>
    <row r="47" spans="1:8" x14ac:dyDescent="0.25">
      <c r="B47" s="12"/>
    </row>
    <row r="48" spans="1:8" ht="171" x14ac:dyDescent="0.25">
      <c r="A48" s="87" t="s">
        <v>17</v>
      </c>
      <c r="B48" s="88" t="s">
        <v>18</v>
      </c>
      <c r="C48" s="89" t="s">
        <v>19</v>
      </c>
      <c r="D48" s="89" t="s">
        <v>20</v>
      </c>
      <c r="E48" s="89" t="s">
        <v>21</v>
      </c>
      <c r="F48" s="89" t="s">
        <v>22</v>
      </c>
    </row>
    <row r="49" spans="1:6" x14ac:dyDescent="0.25">
      <c r="A49" s="90" t="s">
        <v>23</v>
      </c>
      <c r="B49" s="162">
        <v>15</v>
      </c>
      <c r="C49" s="92">
        <v>26</v>
      </c>
      <c r="D49" s="92">
        <f>C49+2</f>
        <v>28</v>
      </c>
      <c r="E49" s="92">
        <v>33.5</v>
      </c>
      <c r="F49" s="92">
        <v>50</v>
      </c>
    </row>
    <row r="51" spans="1:6" ht="42.75" x14ac:dyDescent="0.25">
      <c r="A51" s="93" t="s">
        <v>17</v>
      </c>
      <c r="B51" s="88" t="s">
        <v>24</v>
      </c>
      <c r="C51" s="89" t="s">
        <v>25</v>
      </c>
      <c r="D51" s="89"/>
      <c r="E51" s="89" t="s">
        <v>26</v>
      </c>
    </row>
    <row r="52" spans="1:6" x14ac:dyDescent="0.25">
      <c r="A52" s="94" t="s">
        <v>27</v>
      </c>
      <c r="B52" s="95">
        <f>B46/B49</f>
        <v>0.13607143652343007</v>
      </c>
      <c r="C52" s="96">
        <f>B46/C49</f>
        <v>7.8502751840440421E-2</v>
      </c>
      <c r="D52" s="96"/>
      <c r="E52" s="96">
        <f>B46/E49</f>
        <v>6.092750889108809E-2</v>
      </c>
    </row>
    <row r="54" spans="1:6" x14ac:dyDescent="0.25">
      <c r="A54" s="87" t="s">
        <v>138</v>
      </c>
      <c r="B54" s="97">
        <v>0.3</v>
      </c>
      <c r="C54" s="41" t="s">
        <v>133</v>
      </c>
    </row>
    <row r="56" spans="1:6" ht="42.75" x14ac:dyDescent="0.25">
      <c r="A56" s="98" t="s">
        <v>17</v>
      </c>
      <c r="B56" s="99" t="s">
        <v>24</v>
      </c>
      <c r="C56" s="100" t="s">
        <v>25</v>
      </c>
      <c r="D56" s="100"/>
      <c r="E56" s="100" t="s">
        <v>26</v>
      </c>
    </row>
    <row r="57" spans="1:6" x14ac:dyDescent="0.25">
      <c r="A57" s="16" t="s">
        <v>29</v>
      </c>
      <c r="B57" s="95">
        <f>B52*B54</f>
        <v>4.0821430957029017E-2</v>
      </c>
      <c r="C57" s="96">
        <f>C52*B54</f>
        <v>2.3550825552132126E-2</v>
      </c>
      <c r="D57" s="96"/>
      <c r="E57" s="96">
        <f>E52*B54</f>
        <v>1.8278252667326425E-2</v>
      </c>
    </row>
    <row r="58" spans="1:6" x14ac:dyDescent="0.25">
      <c r="A58" s="16" t="s">
        <v>30</v>
      </c>
      <c r="B58" s="95">
        <f>B57*1000</f>
        <v>40.821430957029015</v>
      </c>
      <c r="C58" s="101">
        <f t="shared" ref="C58:E58" si="3">C57*1000</f>
        <v>23.550825552132125</v>
      </c>
      <c r="D58" s="101"/>
      <c r="E58" s="101">
        <f t="shared" si="3"/>
        <v>18.278252667326424</v>
      </c>
    </row>
    <row r="59" spans="1:6" x14ac:dyDescent="0.25">
      <c r="A59" s="16" t="s">
        <v>31</v>
      </c>
      <c r="B59" s="95">
        <f>B58*12</f>
        <v>489.85717148434821</v>
      </c>
      <c r="C59" s="101">
        <f t="shared" ref="C59:E59" si="4">C58*12</f>
        <v>282.6099066255855</v>
      </c>
      <c r="D59" s="101"/>
      <c r="E59" s="101">
        <f t="shared" si="4"/>
        <v>219.33903200791707</v>
      </c>
    </row>
    <row r="60" spans="1:6" x14ac:dyDescent="0.25">
      <c r="A60" s="19"/>
      <c r="B60" s="18"/>
      <c r="C60" s="85"/>
      <c r="D60" s="85"/>
      <c r="E60" s="85"/>
    </row>
    <row r="61" spans="1:6" x14ac:dyDescent="0.25">
      <c r="A61" s="19" t="s">
        <v>32</v>
      </c>
      <c r="B61" s="95">
        <f>'OPEX CNAIR'!D3/1.19</f>
        <v>13585.670396751066</v>
      </c>
      <c r="C61" s="41" t="s">
        <v>33</v>
      </c>
      <c r="D61" s="67" t="s">
        <v>34</v>
      </c>
      <c r="E61" s="67"/>
    </row>
    <row r="62" spans="1:6" x14ac:dyDescent="0.25">
      <c r="A62" s="19" t="s">
        <v>35</v>
      </c>
      <c r="B62" s="103">
        <f>B61*B42</f>
        <v>358.86655482124036</v>
      </c>
      <c r="C62" s="41" t="s">
        <v>33</v>
      </c>
      <c r="D62" s="85"/>
      <c r="E62" s="85"/>
    </row>
    <row r="63" spans="1:6" x14ac:dyDescent="0.25">
      <c r="A63" s="19"/>
      <c r="B63" s="66"/>
      <c r="D63" s="85"/>
      <c r="E63" s="85"/>
    </row>
    <row r="64" spans="1:6" x14ac:dyDescent="0.25">
      <c r="A64" s="16" t="s">
        <v>36</v>
      </c>
      <c r="B64" s="95">
        <f>B62/1000/12</f>
        <v>2.9905546235103362E-2</v>
      </c>
      <c r="D64" s="85"/>
      <c r="E64" s="85"/>
    </row>
    <row r="65" spans="1:9" x14ac:dyDescent="0.25">
      <c r="A65" s="16" t="s">
        <v>37</v>
      </c>
      <c r="B65" s="95">
        <f>B64*1000</f>
        <v>29.905546235103362</v>
      </c>
      <c r="D65" s="85"/>
      <c r="E65" s="85"/>
    </row>
    <row r="66" spans="1:9" x14ac:dyDescent="0.25">
      <c r="A66" s="16" t="s">
        <v>38</v>
      </c>
      <c r="B66" s="95">
        <f>B65*12</f>
        <v>358.86655482124036</v>
      </c>
      <c r="C66" s="85"/>
      <c r="D66" s="85"/>
      <c r="E66" s="85"/>
    </row>
    <row r="67" spans="1:9" x14ac:dyDescent="0.25">
      <c r="A67" s="17"/>
      <c r="B67" s="18"/>
      <c r="C67" s="85"/>
      <c r="D67" s="85"/>
      <c r="E67" s="85"/>
    </row>
    <row r="68" spans="1:9" ht="15.75" x14ac:dyDescent="0.25">
      <c r="A68" s="19" t="s">
        <v>39</v>
      </c>
      <c r="B68" s="20">
        <v>3</v>
      </c>
    </row>
    <row r="69" spans="1:9" x14ac:dyDescent="0.25">
      <c r="A69" s="19"/>
      <c r="B69" s="19"/>
    </row>
    <row r="70" spans="1:9" ht="42.75" x14ac:dyDescent="0.25">
      <c r="A70" s="106" t="s">
        <v>40</v>
      </c>
      <c r="B70" s="104" t="s">
        <v>24</v>
      </c>
      <c r="C70" s="105" t="s">
        <v>25</v>
      </c>
      <c r="D70" s="105"/>
      <c r="E70" s="105" t="s">
        <v>26</v>
      </c>
      <c r="H70" s="166" t="s">
        <v>39</v>
      </c>
      <c r="I70" s="31">
        <v>1</v>
      </c>
    </row>
    <row r="71" spans="1:9" x14ac:dyDescent="0.25">
      <c r="A71" s="16" t="s">
        <v>41</v>
      </c>
      <c r="B71" s="115">
        <f>(B57+B64)/$B$68</f>
        <v>2.3575659064044126E-2</v>
      </c>
      <c r="C71" s="115">
        <f>(C57+B64)/$B$68</f>
        <v>1.7818790595745163E-2</v>
      </c>
      <c r="D71" s="115"/>
      <c r="E71" s="115">
        <f>(E57+B64)/$B$68</f>
        <v>1.6061266300809927E-2</v>
      </c>
      <c r="F71" s="68" t="s">
        <v>34</v>
      </c>
      <c r="H71" s="166"/>
      <c r="I71" s="31">
        <v>2</v>
      </c>
    </row>
    <row r="72" spans="1:9" x14ac:dyDescent="0.25">
      <c r="A72" s="16" t="s">
        <v>42</v>
      </c>
      <c r="B72" s="116">
        <f>B71*1000</f>
        <v>23.575659064044128</v>
      </c>
      <c r="C72" s="115">
        <f t="shared" ref="C72:E72" si="5">C71*1000</f>
        <v>17.818790595745163</v>
      </c>
      <c r="D72" s="115"/>
      <c r="E72" s="115">
        <f t="shared" si="5"/>
        <v>16.061266300809926</v>
      </c>
      <c r="F72" s="68" t="s">
        <v>34</v>
      </c>
      <c r="H72" s="166"/>
      <c r="I72" s="31">
        <v>2.5</v>
      </c>
    </row>
    <row r="73" spans="1:9" x14ac:dyDescent="0.25">
      <c r="A73" s="16" t="s">
        <v>43</v>
      </c>
      <c r="B73" s="116">
        <f>B72*12</f>
        <v>282.90790876852952</v>
      </c>
      <c r="C73" s="115">
        <f t="shared" ref="C73:E73" si="6">C72*12</f>
        <v>213.82548714894196</v>
      </c>
      <c r="D73" s="115"/>
      <c r="E73" s="115">
        <f t="shared" si="6"/>
        <v>192.73519560971911</v>
      </c>
      <c r="F73" s="68" t="s">
        <v>34</v>
      </c>
      <c r="H73" s="166"/>
      <c r="I73" s="31">
        <v>3</v>
      </c>
    </row>
    <row r="74" spans="1:9" x14ac:dyDescent="0.25">
      <c r="H74" s="133"/>
      <c r="I74" s="144"/>
    </row>
    <row r="75" spans="1:9" ht="17.25" x14ac:dyDescent="0.4">
      <c r="A75" s="19" t="s">
        <v>44</v>
      </c>
      <c r="B75" s="11">
        <f>0.56/1.19</f>
        <v>0.4705882352941177</v>
      </c>
      <c r="C75" s="11">
        <f>0.43/1.19</f>
        <v>0.36134453781512604</v>
      </c>
      <c r="D75" s="11"/>
      <c r="E75" s="11">
        <f>0.21/1.19</f>
        <v>0.17647058823529413</v>
      </c>
    </row>
    <row r="76" spans="1:9" x14ac:dyDescent="0.25">
      <c r="A76" s="19" t="s">
        <v>134</v>
      </c>
      <c r="B76" s="107">
        <f>B75*1000*12</f>
        <v>5647.0588235294126</v>
      </c>
      <c r="C76" s="107">
        <f>C75*1000*12</f>
        <v>4336.134453781513</v>
      </c>
      <c r="D76" s="11"/>
      <c r="E76" s="107">
        <f>E75*1000*12</f>
        <v>2117.6470588235293</v>
      </c>
    </row>
    <row r="79" spans="1:9" x14ac:dyDescent="0.25">
      <c r="A79" s="140"/>
      <c r="B79" s="141"/>
      <c r="C79" s="142"/>
      <c r="D79" s="142"/>
      <c r="E79" s="142"/>
    </row>
    <row r="80" spans="1:9" x14ac:dyDescent="0.25">
      <c r="A80" s="140"/>
      <c r="B80" s="141"/>
      <c r="C80" s="142"/>
      <c r="D80" s="142"/>
      <c r="E80" s="142"/>
    </row>
    <row r="81" spans="1:6" x14ac:dyDescent="0.25">
      <c r="A81" s="140"/>
      <c r="B81" s="143"/>
      <c r="C81" s="142"/>
      <c r="D81" s="142"/>
      <c r="E81" s="142"/>
    </row>
    <row r="82" spans="1:6" x14ac:dyDescent="0.25">
      <c r="A82" s="140"/>
      <c r="B82" s="143"/>
      <c r="C82" s="142"/>
      <c r="D82" s="142"/>
      <c r="E82" s="142"/>
    </row>
    <row r="83" spans="1:6" x14ac:dyDescent="0.25">
      <c r="A83" s="140"/>
      <c r="B83" s="143"/>
      <c r="C83" s="142"/>
      <c r="D83" s="142"/>
      <c r="E83" s="142"/>
    </row>
    <row r="84" spans="1:6" x14ac:dyDescent="0.25">
      <c r="A84" s="140"/>
      <c r="B84" s="141"/>
      <c r="C84" s="142"/>
      <c r="D84" s="142"/>
      <c r="E84" s="142"/>
    </row>
    <row r="85" spans="1:6" s="137" customFormat="1" x14ac:dyDescent="0.25">
      <c r="A85" s="140"/>
      <c r="B85" s="146"/>
      <c r="C85" s="146"/>
      <c r="D85" s="146"/>
      <c r="E85" s="146"/>
      <c r="F85" s="139"/>
    </row>
    <row r="87" spans="1:6" x14ac:dyDescent="0.25">
      <c r="B87" s="157"/>
      <c r="C87" s="157"/>
      <c r="D87" s="157"/>
      <c r="E87" s="157"/>
    </row>
    <row r="88" spans="1:6" x14ac:dyDescent="0.25">
      <c r="B88" s="85"/>
    </row>
    <row r="89" spans="1:6" x14ac:dyDescent="0.25">
      <c r="B89" s="85"/>
      <c r="C89" s="85"/>
      <c r="D89" s="85"/>
      <c r="E89" s="85"/>
    </row>
    <row r="90" spans="1:6" x14ac:dyDescent="0.25">
      <c r="B90" s="85"/>
    </row>
    <row r="91" spans="1:6" x14ac:dyDescent="0.25">
      <c r="B91" s="85"/>
    </row>
    <row r="94" spans="1:6" x14ac:dyDescent="0.25">
      <c r="B94" s="157"/>
      <c r="C94" s="157"/>
      <c r="D94" s="157"/>
      <c r="E94" s="157"/>
    </row>
  </sheetData>
  <mergeCells count="2">
    <mergeCell ref="D39:E39"/>
    <mergeCell ref="H70:H73"/>
  </mergeCells>
  <dataValidations count="1">
    <dataValidation type="list" allowBlank="1" showInputMessage="1" showErrorMessage="1" sqref="B68" xr:uid="{6E99762D-98DD-4819-A0F1-97DC728ABD95}">
      <formula1>$I$70:$I$74</formula1>
    </dataValidation>
  </dataValidations>
  <pageMargins left="0.25" right="0.25" top="0.5" bottom="0.5" header="0.05" footer="0.05"/>
  <pageSetup paperSize="9" scale="71" fitToHeight="2" orientation="landscape" r:id="rId1"/>
  <headerFooter>
    <oddHeader>&amp;F</oddHeader>
    <oddFooter>&amp;C&amp;A&amp;R&amp;P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9176-49C7-46FD-804A-E0B62CB2C820}">
  <sheetPr>
    <pageSetUpPr fitToPage="1"/>
  </sheetPr>
  <dimension ref="A1:L64"/>
  <sheetViews>
    <sheetView workbookViewId="0"/>
  </sheetViews>
  <sheetFormatPr defaultColWidth="20.7109375" defaultRowHeight="15" x14ac:dyDescent="0.25"/>
  <cols>
    <col min="1" max="1" width="36.85546875" bestFit="1" customWidth="1"/>
    <col min="2" max="2" width="17.28515625" style="14" bestFit="1" customWidth="1"/>
    <col min="3" max="3" width="20" customWidth="1"/>
    <col min="4" max="4" width="20.5703125" bestFit="1" customWidth="1"/>
    <col min="5" max="5" width="20" bestFit="1" customWidth="1"/>
    <col min="6" max="6" width="20.5703125" bestFit="1" customWidth="1"/>
    <col min="7" max="7" width="5.28515625" customWidth="1"/>
    <col min="8" max="8" width="16.28515625" bestFit="1" customWidth="1"/>
    <col min="9" max="9" width="6" bestFit="1" customWidth="1"/>
  </cols>
  <sheetData>
    <row r="1" spans="1:6" ht="30" x14ac:dyDescent="0.25">
      <c r="A1" s="76" t="s">
        <v>45</v>
      </c>
      <c r="B1" s="77" t="s">
        <v>1</v>
      </c>
      <c r="C1" s="76" t="s">
        <v>2</v>
      </c>
      <c r="D1" s="76" t="s">
        <v>3</v>
      </c>
      <c r="E1" s="76" t="s">
        <v>4</v>
      </c>
      <c r="F1" s="76" t="s">
        <v>5</v>
      </c>
    </row>
    <row r="2" spans="1:6" ht="30" x14ac:dyDescent="0.25">
      <c r="A2" s="24" t="s">
        <v>46</v>
      </c>
      <c r="B2" s="109">
        <v>4.9569999999999999</v>
      </c>
      <c r="C2" s="81">
        <v>562.61300000000006</v>
      </c>
      <c r="D2" s="81">
        <f>C2/4.977</f>
        <v>113.04259594133012</v>
      </c>
      <c r="E2" s="81">
        <f>C2/B2</f>
        <v>113.49868872301796</v>
      </c>
      <c r="F2" s="81">
        <f>E2/4.977</f>
        <v>22.804639084391795</v>
      </c>
    </row>
    <row r="3" spans="1:6" x14ac:dyDescent="0.25">
      <c r="A3" s="1" t="s">
        <v>47</v>
      </c>
      <c r="B3" s="78">
        <v>10.77</v>
      </c>
      <c r="C3" s="81">
        <v>371.42</v>
      </c>
      <c r="D3" s="81">
        <f t="shared" ref="D3:D6" si="0">C3/4.977</f>
        <v>74.627285513361457</v>
      </c>
      <c r="E3" s="81">
        <f t="shared" ref="E3:E5" si="1">C3/B3</f>
        <v>34.486536675951719</v>
      </c>
      <c r="F3" s="81">
        <f t="shared" ref="F3:F6" si="2">E3/4.977</f>
        <v>6.929181570414249</v>
      </c>
    </row>
    <row r="4" spans="1:6" ht="90" x14ac:dyDescent="0.25">
      <c r="A4" s="24" t="s">
        <v>48</v>
      </c>
      <c r="B4" s="78">
        <v>17.7</v>
      </c>
      <c r="C4" s="81">
        <v>439.29</v>
      </c>
      <c r="D4" s="81">
        <f t="shared" si="0"/>
        <v>88.264014466546115</v>
      </c>
      <c r="E4" s="81">
        <f t="shared" si="1"/>
        <v>24.818644067796612</v>
      </c>
      <c r="F4" s="81">
        <f t="shared" si="2"/>
        <v>4.9866674839856557</v>
      </c>
    </row>
    <row r="5" spans="1:6" ht="30" x14ac:dyDescent="0.25">
      <c r="A5" s="24" t="s">
        <v>49</v>
      </c>
      <c r="B5" s="78">
        <v>31.82</v>
      </c>
      <c r="C5" s="81">
        <v>617.08000000000004</v>
      </c>
      <c r="D5" s="81">
        <f t="shared" si="0"/>
        <v>123.98633715089412</v>
      </c>
      <c r="E5" s="81">
        <f t="shared" si="1"/>
        <v>19.392834695160278</v>
      </c>
      <c r="F5" s="81">
        <f t="shared" si="2"/>
        <v>3.8964907966968609</v>
      </c>
    </row>
    <row r="6" spans="1:6" x14ac:dyDescent="0.25">
      <c r="A6" s="2" t="s">
        <v>50</v>
      </c>
      <c r="B6" s="110">
        <f>SUM(B2:B5)</f>
        <v>65.247</v>
      </c>
      <c r="C6" s="110">
        <f>SUM(C2:C5)</f>
        <v>1990.4030000000002</v>
      </c>
      <c r="D6" s="111">
        <f t="shared" si="0"/>
        <v>399.92023307213185</v>
      </c>
      <c r="E6" s="112">
        <f>C6/B6</f>
        <v>30.505663095621259</v>
      </c>
      <c r="F6" s="112">
        <f t="shared" si="2"/>
        <v>6.129327525742668</v>
      </c>
    </row>
    <row r="7" spans="1:6" x14ac:dyDescent="0.25">
      <c r="A7" s="4"/>
      <c r="B7" s="113"/>
      <c r="C7" s="38"/>
      <c r="D7" s="68"/>
      <c r="E7" s="38"/>
      <c r="F7" s="38"/>
    </row>
    <row r="8" spans="1:6" ht="15.75" x14ac:dyDescent="0.25">
      <c r="A8" s="5" t="s">
        <v>7</v>
      </c>
      <c r="B8" s="86">
        <f>'% in CA'!D17</f>
        <v>3.7242783409694898E-2</v>
      </c>
      <c r="C8" s="4"/>
      <c r="F8" s="4"/>
    </row>
    <row r="10" spans="1:6" ht="15.75" x14ac:dyDescent="0.25">
      <c r="A10" s="5" t="s">
        <v>8</v>
      </c>
      <c r="B10" s="156">
        <v>25</v>
      </c>
      <c r="C10" t="s">
        <v>9</v>
      </c>
      <c r="D10" s="41"/>
    </row>
    <row r="11" spans="1:6" ht="15.75" x14ac:dyDescent="0.25">
      <c r="A11" s="5"/>
      <c r="B11" s="6"/>
      <c r="C11" s="4"/>
      <c r="D11" s="167"/>
      <c r="E11" s="167"/>
    </row>
    <row r="12" spans="1:6" x14ac:dyDescent="0.25">
      <c r="A12" s="7" t="s">
        <v>10</v>
      </c>
      <c r="B12" s="39">
        <f>-PMT(B8,B10,C6*10^6)</f>
        <v>123723627.84453741</v>
      </c>
      <c r="C12" t="s">
        <v>11</v>
      </c>
      <c r="D12" s="42"/>
      <c r="E12" s="43"/>
      <c r="F12" s="39"/>
    </row>
    <row r="14" spans="1:6" ht="29.25" x14ac:dyDescent="0.25">
      <c r="A14" s="21" t="s">
        <v>12</v>
      </c>
      <c r="B14" s="8">
        <f>'% in CA'!D5</f>
        <v>2.6415078854486358E-2</v>
      </c>
      <c r="C14" s="84" t="s">
        <v>136</v>
      </c>
      <c r="D14" s="9"/>
    </row>
    <row r="15" spans="1:6" x14ac:dyDescent="0.25">
      <c r="A15" s="21"/>
      <c r="B15" s="22"/>
      <c r="C15" s="9"/>
      <c r="D15" s="9"/>
    </row>
    <row r="16" spans="1:6" x14ac:dyDescent="0.25">
      <c r="A16" s="7" t="s">
        <v>13</v>
      </c>
      <c r="B16" s="70">
        <f>B12*B14/4.977</f>
        <v>656654.48777909973</v>
      </c>
      <c r="C16" t="s">
        <v>14</v>
      </c>
      <c r="E16" s="10"/>
    </row>
    <row r="17" spans="1:6" x14ac:dyDescent="0.25">
      <c r="A17" s="7" t="s">
        <v>51</v>
      </c>
      <c r="B17" s="70">
        <f>B16/12</f>
        <v>54721.207314924977</v>
      </c>
      <c r="C17" t="s">
        <v>15</v>
      </c>
      <c r="E17" s="10"/>
    </row>
    <row r="18" spans="1:6" x14ac:dyDescent="0.25">
      <c r="A18" s="7" t="s">
        <v>51</v>
      </c>
      <c r="B18" s="114">
        <f>B17/B6/1000</f>
        <v>0.83867775246256493</v>
      </c>
      <c r="C18" t="s">
        <v>16</v>
      </c>
      <c r="E18" s="10"/>
    </row>
    <row r="19" spans="1:6" x14ac:dyDescent="0.25">
      <c r="B19" s="12"/>
    </row>
    <row r="20" spans="1:6" ht="85.5" x14ac:dyDescent="0.25">
      <c r="A20" s="117" t="s">
        <v>17</v>
      </c>
      <c r="B20" s="88" t="s">
        <v>18</v>
      </c>
      <c r="C20" s="88" t="s">
        <v>19</v>
      </c>
      <c r="D20" s="88" t="s">
        <v>20</v>
      </c>
      <c r="E20" s="88" t="s">
        <v>21</v>
      </c>
      <c r="F20" s="88" t="s">
        <v>22</v>
      </c>
    </row>
    <row r="21" spans="1:6" x14ac:dyDescent="0.25">
      <c r="A21" s="117" t="s">
        <v>52</v>
      </c>
      <c r="B21" s="118">
        <v>14</v>
      </c>
      <c r="C21" s="119">
        <v>21.5</v>
      </c>
      <c r="D21" s="119">
        <f>C21+2</f>
        <v>23.5</v>
      </c>
      <c r="E21" s="119">
        <v>29</v>
      </c>
      <c r="F21" s="119">
        <v>50</v>
      </c>
    </row>
    <row r="23" spans="1:6" ht="28.5" x14ac:dyDescent="0.25">
      <c r="A23" s="93" t="s">
        <v>17</v>
      </c>
      <c r="B23" s="88" t="s">
        <v>24</v>
      </c>
      <c r="C23" s="88" t="s">
        <v>25</v>
      </c>
      <c r="D23" s="88"/>
      <c r="E23" s="88" t="s">
        <v>26</v>
      </c>
    </row>
    <row r="24" spans="1:6" x14ac:dyDescent="0.25">
      <c r="A24" s="16" t="s">
        <v>27</v>
      </c>
      <c r="B24" s="95">
        <f>B18/B21</f>
        <v>5.9905553747326069E-2</v>
      </c>
      <c r="C24" s="120">
        <f>B18/C21</f>
        <v>3.9008267556398371E-2</v>
      </c>
      <c r="D24" s="120"/>
      <c r="E24" s="120">
        <f>B18/E21</f>
        <v>2.8919922498709137E-2</v>
      </c>
    </row>
    <row r="25" spans="1:6" x14ac:dyDescent="0.25">
      <c r="A25" s="19"/>
      <c r="B25" s="18"/>
      <c r="C25" s="10"/>
      <c r="D25" s="10"/>
      <c r="E25" s="10"/>
    </row>
    <row r="26" spans="1:6" x14ac:dyDescent="0.25">
      <c r="A26" s="87" t="s">
        <v>28</v>
      </c>
      <c r="B26" s="121">
        <v>0.3</v>
      </c>
      <c r="C26" t="s">
        <v>133</v>
      </c>
    </row>
    <row r="27" spans="1:6" x14ac:dyDescent="0.25">
      <c r="A27" s="87"/>
      <c r="B27" s="87"/>
    </row>
    <row r="29" spans="1:6" ht="28.5" x14ac:dyDescent="0.25">
      <c r="A29" s="122" t="s">
        <v>17</v>
      </c>
      <c r="B29" s="123" t="s">
        <v>24</v>
      </c>
      <c r="C29" s="123" t="s">
        <v>25</v>
      </c>
      <c r="D29" s="123"/>
      <c r="E29" s="123" t="s">
        <v>26</v>
      </c>
    </row>
    <row r="30" spans="1:6" x14ac:dyDescent="0.25">
      <c r="A30" s="16" t="s">
        <v>29</v>
      </c>
      <c r="B30" s="95">
        <f>B24*B26</f>
        <v>1.7971666124197819E-2</v>
      </c>
      <c r="C30" s="120">
        <f>C24*B26</f>
        <v>1.170248026691951E-2</v>
      </c>
      <c r="D30" s="120"/>
      <c r="E30" s="120">
        <f>E24*B26</f>
        <v>8.6759767496127401E-3</v>
      </c>
    </row>
    <row r="31" spans="1:6" x14ac:dyDescent="0.25">
      <c r="A31" s="16" t="s">
        <v>30</v>
      </c>
      <c r="B31" s="95">
        <f>B30*1000</f>
        <v>17.971666124197821</v>
      </c>
      <c r="C31" s="95">
        <f t="shared" ref="C31:E31" si="3">C30*1000</f>
        <v>11.70248026691951</v>
      </c>
      <c r="D31" s="95"/>
      <c r="E31" s="95">
        <f t="shared" si="3"/>
        <v>8.6759767496127402</v>
      </c>
    </row>
    <row r="32" spans="1:6" x14ac:dyDescent="0.25">
      <c r="A32" s="16" t="s">
        <v>31</v>
      </c>
      <c r="B32" s="95">
        <f>B31*12</f>
        <v>215.65999349037384</v>
      </c>
      <c r="C32" s="95">
        <f t="shared" ref="C32:E32" si="4">C31*12</f>
        <v>140.42976320303413</v>
      </c>
      <c r="D32" s="95"/>
      <c r="E32" s="95">
        <f t="shared" si="4"/>
        <v>104.11172099535288</v>
      </c>
    </row>
    <row r="33" spans="1:10" x14ac:dyDescent="0.25">
      <c r="A33" s="148"/>
      <c r="B33" s="158"/>
      <c r="C33" s="159"/>
      <c r="D33" s="159"/>
      <c r="E33" s="159"/>
    </row>
    <row r="34" spans="1:10" x14ac:dyDescent="0.25">
      <c r="A34" s="19" t="s">
        <v>32</v>
      </c>
      <c r="B34" s="124">
        <f>Autostrazi!B61</f>
        <v>13585.670396751066</v>
      </c>
      <c r="C34" t="s">
        <v>33</v>
      </c>
      <c r="D34" s="163" t="s">
        <v>34</v>
      </c>
      <c r="E34" s="10"/>
    </row>
    <row r="35" spans="1:10" x14ac:dyDescent="0.25">
      <c r="A35" s="19" t="s">
        <v>35</v>
      </c>
      <c r="B35" s="102">
        <f>B34*B14</f>
        <v>358.86655482124036</v>
      </c>
      <c r="C35" t="s">
        <v>33</v>
      </c>
      <c r="D35" s="18"/>
      <c r="E35" s="10"/>
    </row>
    <row r="36" spans="1:10" x14ac:dyDescent="0.25">
      <c r="A36" s="19"/>
      <c r="B36" s="66"/>
      <c r="C36" s="10"/>
      <c r="D36" s="10"/>
      <c r="E36" s="10"/>
    </row>
    <row r="37" spans="1:10" x14ac:dyDescent="0.25">
      <c r="A37" s="16" t="s">
        <v>36</v>
      </c>
      <c r="B37" s="95">
        <f>B35/1000/12</f>
        <v>2.9905546235103362E-2</v>
      </c>
      <c r="C37" s="10"/>
      <c r="D37" s="10"/>
      <c r="E37" s="10"/>
    </row>
    <row r="38" spans="1:10" x14ac:dyDescent="0.25">
      <c r="A38" s="16" t="s">
        <v>37</v>
      </c>
      <c r="B38" s="95">
        <f>B37*1000</f>
        <v>29.905546235103362</v>
      </c>
      <c r="C38" s="10"/>
      <c r="D38" s="10"/>
      <c r="E38" s="10"/>
    </row>
    <row r="39" spans="1:10" x14ac:dyDescent="0.25">
      <c r="A39" s="16" t="s">
        <v>38</v>
      </c>
      <c r="B39" s="103">
        <f>B38*12</f>
        <v>358.86655482124036</v>
      </c>
    </row>
    <row r="40" spans="1:10" x14ac:dyDescent="0.25">
      <c r="A40" s="17"/>
    </row>
    <row r="41" spans="1:10" ht="15.75" x14ac:dyDescent="0.25">
      <c r="A41" s="19" t="s">
        <v>39</v>
      </c>
      <c r="B41" s="20">
        <v>3</v>
      </c>
    </row>
    <row r="42" spans="1:10" x14ac:dyDescent="0.25">
      <c r="H42" s="168"/>
      <c r="I42" s="31">
        <v>2</v>
      </c>
    </row>
    <row r="43" spans="1:10" ht="28.5" x14ac:dyDescent="0.25">
      <c r="A43" s="93" t="s">
        <v>40</v>
      </c>
      <c r="B43" s="88" t="s">
        <v>24</v>
      </c>
      <c r="C43" s="88" t="s">
        <v>25</v>
      </c>
      <c r="D43" s="88"/>
      <c r="E43" s="88" t="s">
        <v>26</v>
      </c>
      <c r="H43" s="168"/>
      <c r="I43" s="31">
        <v>2.5</v>
      </c>
    </row>
    <row r="44" spans="1:10" x14ac:dyDescent="0.25">
      <c r="A44" s="16" t="s">
        <v>41</v>
      </c>
      <c r="B44" s="115">
        <f>(B30+B37)/$B$41</f>
        <v>1.5959070786433726E-2</v>
      </c>
      <c r="C44" s="115">
        <f>(C30+B37)/$B$41</f>
        <v>1.3869342167340959E-2</v>
      </c>
      <c r="D44" s="115"/>
      <c r="E44" s="115">
        <f>(E30+B37)/$B$41</f>
        <v>1.2860507661572033E-2</v>
      </c>
      <c r="F44" s="67" t="s">
        <v>34</v>
      </c>
      <c r="H44" s="168"/>
      <c r="I44" s="31">
        <v>3</v>
      </c>
    </row>
    <row r="45" spans="1:10" x14ac:dyDescent="0.25">
      <c r="A45" s="16" t="s">
        <v>42</v>
      </c>
      <c r="B45" s="116">
        <f>B44*1000</f>
        <v>15.959070786433726</v>
      </c>
      <c r="C45" s="116">
        <f t="shared" ref="C45:E45" si="5">C44*1000</f>
        <v>13.869342167340958</v>
      </c>
      <c r="D45" s="116"/>
      <c r="E45" s="116">
        <f t="shared" si="5"/>
        <v>12.860507661572033</v>
      </c>
      <c r="F45" s="67" t="s">
        <v>34</v>
      </c>
      <c r="H45" s="160"/>
      <c r="I45" s="160"/>
      <c r="J45" s="160"/>
    </row>
    <row r="46" spans="1:10" x14ac:dyDescent="0.25">
      <c r="A46" s="16" t="s">
        <v>43</v>
      </c>
      <c r="B46" s="116">
        <f>B45*12</f>
        <v>191.5088494372047</v>
      </c>
      <c r="C46" s="116">
        <f t="shared" ref="C46:E46" si="6">C45*12</f>
        <v>166.43210600809149</v>
      </c>
      <c r="D46" s="116"/>
      <c r="E46" s="116">
        <f t="shared" si="6"/>
        <v>154.32609193886441</v>
      </c>
      <c r="F46" s="67" t="s">
        <v>34</v>
      </c>
      <c r="H46" s="54"/>
      <c r="I46" s="54"/>
    </row>
    <row r="47" spans="1:10" x14ac:dyDescent="0.25">
      <c r="C47" s="10"/>
      <c r="H47" s="54"/>
      <c r="I47" s="54"/>
    </row>
    <row r="48" spans="1:10" ht="17.25" x14ac:dyDescent="0.4">
      <c r="A48" s="19" t="s">
        <v>44</v>
      </c>
      <c r="B48" s="11">
        <f>0.56/1.19</f>
        <v>0.4705882352941177</v>
      </c>
      <c r="C48" s="11">
        <f>0.43/1.19</f>
        <v>0.36134453781512604</v>
      </c>
      <c r="D48" s="11"/>
      <c r="E48" s="11">
        <f>0.21/1.19</f>
        <v>0.17647058823529413</v>
      </c>
    </row>
    <row r="49" spans="1:12" x14ac:dyDescent="0.25">
      <c r="A49" s="19" t="s">
        <v>134</v>
      </c>
      <c r="B49" s="107">
        <f>B48*1000*12</f>
        <v>5647.0588235294126</v>
      </c>
      <c r="C49" s="107">
        <f>C48*1000*12</f>
        <v>4336.134453781513</v>
      </c>
      <c r="D49" s="11"/>
      <c r="E49" s="107">
        <f>E48*1000*12</f>
        <v>2117.6470588235293</v>
      </c>
    </row>
    <row r="51" spans="1:12" x14ac:dyDescent="0.25">
      <c r="A51" s="152"/>
      <c r="B51" s="138"/>
      <c r="C51" s="137"/>
      <c r="D51" s="137"/>
      <c r="E51" s="137"/>
      <c r="F51" s="137"/>
      <c r="G51" s="137"/>
      <c r="H51" s="137"/>
      <c r="I51" s="137"/>
      <c r="J51" s="137"/>
      <c r="K51" s="137"/>
      <c r="L51" s="137"/>
    </row>
    <row r="52" spans="1:12" x14ac:dyDescent="0.25">
      <c r="A52" s="139"/>
      <c r="B52" s="153"/>
      <c r="C52" s="139"/>
      <c r="D52" s="139"/>
      <c r="E52" s="139"/>
      <c r="F52" s="137"/>
      <c r="G52" s="137"/>
      <c r="H52" s="137"/>
      <c r="I52" s="137"/>
      <c r="J52" s="137"/>
      <c r="K52" s="137"/>
      <c r="L52" s="137"/>
    </row>
    <row r="53" spans="1:12" x14ac:dyDescent="0.25">
      <c r="A53" s="139"/>
      <c r="B53" s="153"/>
      <c r="C53" s="139"/>
      <c r="D53" s="139"/>
      <c r="E53" s="139"/>
      <c r="F53" s="137"/>
      <c r="G53" s="137"/>
      <c r="H53" s="137"/>
      <c r="I53" s="137"/>
      <c r="J53" s="137"/>
      <c r="K53" s="137"/>
      <c r="L53" s="137"/>
    </row>
    <row r="54" spans="1:12" x14ac:dyDescent="0.25">
      <c r="A54" s="139"/>
      <c r="B54" s="153"/>
      <c r="C54" s="139"/>
      <c r="D54" s="139"/>
      <c r="E54" s="139"/>
      <c r="F54" s="137"/>
      <c r="G54" s="137"/>
      <c r="H54" s="137"/>
      <c r="I54" s="137"/>
      <c r="J54" s="137"/>
      <c r="K54" s="137"/>
      <c r="L54" s="137"/>
    </row>
    <row r="55" spans="1:12" x14ac:dyDescent="0.25">
      <c r="A55" s="139"/>
      <c r="B55" s="153"/>
      <c r="C55" s="139"/>
      <c r="D55" s="139"/>
      <c r="E55" s="139"/>
      <c r="F55" s="137"/>
      <c r="G55" s="137"/>
      <c r="H55" s="137"/>
      <c r="I55" s="137"/>
      <c r="J55" s="137"/>
      <c r="K55" s="137"/>
      <c r="L55" s="137"/>
    </row>
    <row r="57" spans="1:12" x14ac:dyDescent="0.25">
      <c r="A57" s="139"/>
      <c r="B57" s="145"/>
      <c r="C57" s="145"/>
      <c r="D57" s="145"/>
      <c r="E57" s="145"/>
      <c r="F57" s="134"/>
    </row>
    <row r="58" spans="1:12" x14ac:dyDescent="0.25">
      <c r="B58" s="135"/>
      <c r="C58" s="134"/>
      <c r="D58" s="134"/>
      <c r="E58" s="134"/>
      <c r="F58" s="134"/>
    </row>
    <row r="60" spans="1:12" x14ac:dyDescent="0.25">
      <c r="B60" s="157"/>
      <c r="C60" s="157"/>
      <c r="D60" s="157"/>
      <c r="E60" s="157"/>
    </row>
    <row r="61" spans="1:12" x14ac:dyDescent="0.25">
      <c r="B61" s="85"/>
      <c r="C61" s="41"/>
      <c r="D61" s="41"/>
      <c r="E61" s="41"/>
    </row>
    <row r="62" spans="1:12" x14ac:dyDescent="0.25">
      <c r="B62" s="85"/>
      <c r="C62" s="41"/>
      <c r="D62" s="41"/>
      <c r="E62" s="41"/>
    </row>
    <row r="64" spans="1:12" x14ac:dyDescent="0.25">
      <c r="B64" s="157"/>
      <c r="C64" s="157"/>
      <c r="D64" s="157"/>
      <c r="E64" s="157"/>
    </row>
  </sheetData>
  <mergeCells count="2">
    <mergeCell ref="D11:E11"/>
    <mergeCell ref="H42:H44"/>
  </mergeCells>
  <dataValidations disablePrompts="1" count="1">
    <dataValidation type="list" allowBlank="1" showInputMessage="1" showErrorMessage="1" sqref="B41" xr:uid="{1B683DC5-1698-4F90-BBB7-49B303DFD557}">
      <formula1>$I$41:$I$47</formula1>
    </dataValidation>
  </dataValidations>
  <pageMargins left="0.25" right="0.25" top="0.75" bottom="0.75" header="0.3" footer="0.3"/>
  <pageSetup paperSize="9" scale="87" fitToHeight="2" orientation="landscape" r:id="rId1"/>
  <headerFooter>
    <oddHeader>&amp;F</oddHeader>
    <oddFooter>&amp;C&amp;A&amp;R&amp;P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EF771-08DC-40D8-9B21-357107DB00C8}">
  <sheetPr>
    <pageSetUpPr fitToPage="1"/>
  </sheetPr>
  <dimension ref="B2:K52"/>
  <sheetViews>
    <sheetView workbookViewId="0"/>
  </sheetViews>
  <sheetFormatPr defaultRowHeight="15" x14ac:dyDescent="0.25"/>
  <cols>
    <col min="2" max="2" width="34.85546875" bestFit="1" customWidth="1"/>
    <col min="3" max="3" width="22.5703125" bestFit="1" customWidth="1"/>
    <col min="4" max="4" width="28.140625" bestFit="1" customWidth="1"/>
    <col min="5" max="5" width="18" customWidth="1"/>
    <col min="6" max="6" width="19.28515625" bestFit="1" customWidth="1"/>
    <col min="7" max="7" width="16.28515625" customWidth="1"/>
    <col min="8" max="8" width="12.7109375" customWidth="1"/>
  </cols>
  <sheetData>
    <row r="2" spans="2:8" ht="30" x14ac:dyDescent="0.25">
      <c r="B2" s="4" t="s">
        <v>54</v>
      </c>
      <c r="C2" s="155">
        <f>560000*F2/100</f>
        <v>806960</v>
      </c>
      <c r="D2" t="s">
        <v>55</v>
      </c>
      <c r="E2" s="25" t="s">
        <v>56</v>
      </c>
      <c r="F2" s="126">
        <v>144.1</v>
      </c>
    </row>
    <row r="3" spans="2:8" x14ac:dyDescent="0.25">
      <c r="C3" s="23"/>
      <c r="E3" s="9" t="s">
        <v>57</v>
      </c>
      <c r="F3" s="125" t="s">
        <v>58</v>
      </c>
      <c r="H3" s="36"/>
    </row>
    <row r="4" spans="2:8" ht="15.75" x14ac:dyDescent="0.25">
      <c r="B4" s="5" t="s">
        <v>7</v>
      </c>
      <c r="C4" s="127">
        <f>'% in CA'!D17</f>
        <v>3.7242783409694898E-2</v>
      </c>
      <c r="E4" s="25"/>
      <c r="H4" s="36"/>
    </row>
    <row r="6" spans="2:8" ht="15.75" x14ac:dyDescent="0.25">
      <c r="B6" s="5" t="s">
        <v>8</v>
      </c>
      <c r="C6" s="3">
        <v>25</v>
      </c>
      <c r="D6" t="s">
        <v>9</v>
      </c>
    </row>
    <row r="7" spans="2:8" ht="15.75" x14ac:dyDescent="0.25">
      <c r="B7" s="5"/>
      <c r="C7" s="6"/>
      <c r="D7" s="4"/>
    </row>
    <row r="8" spans="2:8" x14ac:dyDescent="0.25">
      <c r="B8" s="7" t="s">
        <v>10</v>
      </c>
      <c r="C8" s="70">
        <f>-PMT(C4,C6,C2)</f>
        <v>50160.705508094543</v>
      </c>
      <c r="D8" t="s">
        <v>59</v>
      </c>
    </row>
    <row r="10" spans="2:8" ht="29.25" x14ac:dyDescent="0.25">
      <c r="B10" s="21" t="s">
        <v>12</v>
      </c>
      <c r="C10" s="128">
        <f>'% in CA'!D25</f>
        <v>3.4724009130845196E-2</v>
      </c>
      <c r="D10" s="9"/>
    </row>
    <row r="12" spans="2:8" x14ac:dyDescent="0.25">
      <c r="B12" s="7" t="s">
        <v>60</v>
      </c>
      <c r="C12" s="129">
        <f>C8*C10</f>
        <v>1741.7807960727118</v>
      </c>
      <c r="D12" t="s">
        <v>59</v>
      </c>
    </row>
    <row r="13" spans="2:8" x14ac:dyDescent="0.25">
      <c r="B13" s="7" t="s">
        <v>51</v>
      </c>
      <c r="C13" s="129">
        <f>C12/12</f>
        <v>145.14839967272599</v>
      </c>
      <c r="D13" t="s">
        <v>61</v>
      </c>
    </row>
    <row r="14" spans="2:8" x14ac:dyDescent="0.25">
      <c r="B14" s="7" t="s">
        <v>51</v>
      </c>
      <c r="C14" s="130">
        <f>C13/1000</f>
        <v>0.145148399672726</v>
      </c>
      <c r="D14" t="s">
        <v>16</v>
      </c>
    </row>
    <row r="16" spans="2:8" ht="142.5" x14ac:dyDescent="0.25">
      <c r="B16" s="117" t="s">
        <v>17</v>
      </c>
      <c r="C16" s="88" t="s">
        <v>18</v>
      </c>
      <c r="D16" s="88" t="s">
        <v>19</v>
      </c>
      <c r="E16" s="88" t="s">
        <v>20</v>
      </c>
      <c r="F16" s="88" t="s">
        <v>21</v>
      </c>
      <c r="G16" s="88" t="s">
        <v>22</v>
      </c>
    </row>
    <row r="17" spans="2:7" x14ac:dyDescent="0.25">
      <c r="B17" s="90" t="s">
        <v>62</v>
      </c>
      <c r="C17" s="91">
        <v>6</v>
      </c>
      <c r="D17" s="131">
        <v>8</v>
      </c>
      <c r="E17" s="131">
        <f>D17+2</f>
        <v>10</v>
      </c>
      <c r="F17" s="131">
        <f>E17+5.5</f>
        <v>15.5</v>
      </c>
      <c r="G17" s="131">
        <v>20</v>
      </c>
    </row>
    <row r="19" spans="2:7" ht="28.5" x14ac:dyDescent="0.25">
      <c r="B19" s="93" t="s">
        <v>17</v>
      </c>
      <c r="C19" s="88" t="s">
        <v>24</v>
      </c>
      <c r="D19" s="88" t="s">
        <v>25</v>
      </c>
      <c r="E19" s="88" t="s">
        <v>26</v>
      </c>
    </row>
    <row r="20" spans="2:7" x14ac:dyDescent="0.25">
      <c r="B20" s="16" t="s">
        <v>27</v>
      </c>
      <c r="C20" s="95">
        <f>C14/C17</f>
        <v>2.4191399945454332E-2</v>
      </c>
      <c r="D20" s="120">
        <f>C14/D17</f>
        <v>1.814354995909075E-2</v>
      </c>
      <c r="E20" s="120">
        <f>C14/F17</f>
        <v>9.3644128821113552E-3</v>
      </c>
    </row>
    <row r="22" spans="2:7" x14ac:dyDescent="0.25">
      <c r="B22" s="87" t="s">
        <v>28</v>
      </c>
      <c r="C22" s="74">
        <v>0.3</v>
      </c>
      <c r="D22" t="s">
        <v>133</v>
      </c>
    </row>
    <row r="23" spans="2:7" x14ac:dyDescent="0.25">
      <c r="B23" s="147"/>
      <c r="C23" s="147"/>
      <c r="D23" s="136"/>
    </row>
    <row r="24" spans="2:7" ht="28.5" x14ac:dyDescent="0.25">
      <c r="B24" s="122" t="s">
        <v>17</v>
      </c>
      <c r="C24" s="123" t="s">
        <v>24</v>
      </c>
      <c r="D24" s="123" t="s">
        <v>25</v>
      </c>
      <c r="E24" s="123" t="s">
        <v>26</v>
      </c>
    </row>
    <row r="25" spans="2:7" x14ac:dyDescent="0.25">
      <c r="B25" s="16" t="s">
        <v>29</v>
      </c>
      <c r="C25" s="95">
        <f>C20*C22</f>
        <v>7.2574199836362993E-3</v>
      </c>
      <c r="D25" s="120">
        <f>D20*C22</f>
        <v>5.4430649877272247E-3</v>
      </c>
      <c r="E25" s="120">
        <f>E20*C22</f>
        <v>2.8093238646334064E-3</v>
      </c>
    </row>
    <row r="26" spans="2:7" x14ac:dyDescent="0.25">
      <c r="B26" s="16" t="s">
        <v>30</v>
      </c>
      <c r="C26" s="95">
        <f>C25*1000</f>
        <v>7.2574199836362991</v>
      </c>
      <c r="D26" s="95">
        <f>D25*1000</f>
        <v>5.443064987727225</v>
      </c>
      <c r="E26" s="95">
        <f>E25*1000</f>
        <v>2.8093238646334062</v>
      </c>
    </row>
    <row r="27" spans="2:7" x14ac:dyDescent="0.25">
      <c r="B27" s="16" t="s">
        <v>31</v>
      </c>
      <c r="C27" s="95">
        <f>C26*12</f>
        <v>87.089039803635586</v>
      </c>
      <c r="D27" s="95">
        <f>D26*12</f>
        <v>65.316779852726697</v>
      </c>
      <c r="E27" s="95">
        <f>E26*12</f>
        <v>33.711886375600876</v>
      </c>
    </row>
    <row r="28" spans="2:7" x14ac:dyDescent="0.25">
      <c r="B28" s="148"/>
      <c r="C28" s="158"/>
      <c r="D28" s="159"/>
      <c r="E28" s="159"/>
    </row>
    <row r="29" spans="2:7" x14ac:dyDescent="0.25">
      <c r="B29" s="19" t="s">
        <v>32</v>
      </c>
      <c r="C29" s="164">
        <v>2759.7241600441366</v>
      </c>
      <c r="D29" t="s">
        <v>33</v>
      </c>
      <c r="E29" s="67" t="s">
        <v>34</v>
      </c>
      <c r="G29" s="10"/>
    </row>
    <row r="30" spans="2:7" x14ac:dyDescent="0.25">
      <c r="B30" s="19" t="s">
        <v>35</v>
      </c>
      <c r="C30" s="132">
        <f>C29*C10</f>
        <v>95.828686931986695</v>
      </c>
      <c r="D30" t="s">
        <v>33</v>
      </c>
      <c r="E30" s="41"/>
      <c r="G30" s="10"/>
    </row>
    <row r="31" spans="2:7" x14ac:dyDescent="0.25">
      <c r="C31" s="14"/>
    </row>
    <row r="32" spans="2:7" x14ac:dyDescent="0.25">
      <c r="B32" s="16" t="s">
        <v>36</v>
      </c>
      <c r="C32" s="95">
        <f>C30/1000/12</f>
        <v>7.985723910998891E-3</v>
      </c>
    </row>
    <row r="33" spans="2:11" x14ac:dyDescent="0.25">
      <c r="B33" s="16" t="s">
        <v>37</v>
      </c>
      <c r="C33" s="95">
        <f>C32*1000</f>
        <v>7.9857239109988907</v>
      </c>
    </row>
    <row r="34" spans="2:11" x14ac:dyDescent="0.25">
      <c r="B34" s="16" t="s">
        <v>38</v>
      </c>
      <c r="C34" s="95">
        <f>C33*12</f>
        <v>95.828686931986681</v>
      </c>
    </row>
    <row r="36" spans="2:11" ht="15.75" x14ac:dyDescent="0.25">
      <c r="B36" s="19" t="s">
        <v>63</v>
      </c>
      <c r="C36" s="20">
        <v>3</v>
      </c>
    </row>
    <row r="37" spans="2:11" x14ac:dyDescent="0.25">
      <c r="B37" s="148"/>
      <c r="C37" s="149"/>
      <c r="H37" s="169" t="s">
        <v>53</v>
      </c>
      <c r="I37" s="31">
        <v>1</v>
      </c>
    </row>
    <row r="38" spans="2:11" ht="28.5" x14ac:dyDescent="0.25">
      <c r="B38" s="15" t="s">
        <v>40</v>
      </c>
      <c r="C38" s="13" t="s">
        <v>24</v>
      </c>
      <c r="D38" s="13" t="s">
        <v>25</v>
      </c>
      <c r="E38" s="13" t="s">
        <v>26</v>
      </c>
      <c r="H38" s="169"/>
      <c r="I38" s="31">
        <v>2</v>
      </c>
    </row>
    <row r="39" spans="2:11" x14ac:dyDescent="0.25">
      <c r="B39" s="16" t="s">
        <v>41</v>
      </c>
      <c r="C39" s="115">
        <f>(C25+C32)/$C$36</f>
        <v>5.0810479648783968E-3</v>
      </c>
      <c r="D39" s="115">
        <f>(D25+C32)/$C$36</f>
        <v>4.4762629662420386E-3</v>
      </c>
      <c r="E39" s="115">
        <f>(E25+C32)/$C$36</f>
        <v>3.5983492585440987E-3</v>
      </c>
      <c r="F39" s="67" t="s">
        <v>34</v>
      </c>
      <c r="H39" s="169"/>
      <c r="I39" s="31">
        <v>2.5</v>
      </c>
    </row>
    <row r="40" spans="2:11" x14ac:dyDescent="0.25">
      <c r="B40" s="16" t="s">
        <v>42</v>
      </c>
      <c r="C40" s="116">
        <f>C39*1000</f>
        <v>5.0810479648783966</v>
      </c>
      <c r="D40" s="116">
        <f t="shared" ref="D40:E40" si="0">D39*1000</f>
        <v>4.4762629662420386</v>
      </c>
      <c r="E40" s="116">
        <f t="shared" si="0"/>
        <v>3.5983492585440988</v>
      </c>
      <c r="F40" s="67" t="s">
        <v>34</v>
      </c>
      <c r="G40" s="160"/>
      <c r="H40" s="169"/>
      <c r="I40" s="31">
        <v>3</v>
      </c>
    </row>
    <row r="41" spans="2:11" x14ac:dyDescent="0.25">
      <c r="B41" s="16" t="s">
        <v>43</v>
      </c>
      <c r="C41" s="116">
        <f>C40*12</f>
        <v>60.972575578540756</v>
      </c>
      <c r="D41" s="116">
        <f t="shared" ref="D41:E41" si="1">D40*12</f>
        <v>53.715155594904459</v>
      </c>
      <c r="E41" s="116">
        <f t="shared" si="1"/>
        <v>43.180191102529186</v>
      </c>
      <c r="F41" s="67" t="s">
        <v>34</v>
      </c>
      <c r="G41" s="54"/>
      <c r="H41" s="54"/>
      <c r="I41" s="54"/>
      <c r="J41" s="54"/>
      <c r="K41" s="54"/>
    </row>
    <row r="42" spans="2:11" x14ac:dyDescent="0.25">
      <c r="C42" s="10"/>
      <c r="D42" s="10"/>
      <c r="E42" s="10"/>
    </row>
    <row r="43" spans="2:11" x14ac:dyDescent="0.25">
      <c r="B43" s="148"/>
      <c r="C43" s="136"/>
      <c r="D43" s="136"/>
      <c r="E43" s="136"/>
      <c r="F43" s="136"/>
      <c r="G43" s="136"/>
    </row>
    <row r="44" spans="2:11" x14ac:dyDescent="0.25">
      <c r="B44" s="136"/>
      <c r="C44" s="136"/>
      <c r="D44" s="136"/>
      <c r="E44" s="136"/>
      <c r="F44" s="136"/>
      <c r="G44" s="136"/>
    </row>
    <row r="45" spans="2:11" x14ac:dyDescent="0.25">
      <c r="B45" s="136"/>
      <c r="C45" s="136"/>
      <c r="D45" s="136"/>
      <c r="E45" s="136"/>
      <c r="F45" s="136"/>
      <c r="G45" s="136"/>
    </row>
    <row r="46" spans="2:11" x14ac:dyDescent="0.25">
      <c r="B46" s="136"/>
      <c r="C46" s="136"/>
      <c r="D46" s="136"/>
      <c r="E46" s="136"/>
      <c r="F46" s="136"/>
      <c r="G46" s="136"/>
    </row>
    <row r="47" spans="2:11" x14ac:dyDescent="0.25">
      <c r="B47" s="136"/>
      <c r="C47" s="136"/>
      <c r="D47" s="136"/>
      <c r="E47" s="136"/>
      <c r="F47" s="136"/>
      <c r="G47" s="136"/>
    </row>
    <row r="48" spans="2:11" x14ac:dyDescent="0.25">
      <c r="B48" s="136"/>
      <c r="C48" s="136"/>
      <c r="D48" s="136"/>
      <c r="E48" s="136"/>
      <c r="F48" s="136"/>
      <c r="G48" s="136"/>
    </row>
    <row r="49" spans="2:7" x14ac:dyDescent="0.25">
      <c r="B49" s="136"/>
      <c r="C49" s="154"/>
      <c r="D49" s="154"/>
      <c r="E49" s="154"/>
      <c r="F49" s="136"/>
      <c r="G49" s="136"/>
    </row>
    <row r="50" spans="2:7" x14ac:dyDescent="0.25">
      <c r="B50" s="136"/>
      <c r="C50" s="136"/>
      <c r="D50" s="136"/>
      <c r="E50" s="136"/>
      <c r="F50" s="136"/>
      <c r="G50" s="136"/>
    </row>
    <row r="51" spans="2:7" x14ac:dyDescent="0.25">
      <c r="B51" s="136"/>
      <c r="C51" s="136"/>
      <c r="D51" s="136"/>
      <c r="E51" s="136"/>
      <c r="F51" s="136"/>
      <c r="G51" s="136"/>
    </row>
    <row r="52" spans="2:7" x14ac:dyDescent="0.25">
      <c r="B52" s="136"/>
      <c r="C52" s="136"/>
      <c r="D52" s="136"/>
      <c r="E52" s="136"/>
      <c r="F52" s="136"/>
      <c r="G52" s="136"/>
    </row>
  </sheetData>
  <mergeCells count="1">
    <mergeCell ref="H37:H40"/>
  </mergeCells>
  <dataValidations disablePrompts="1" count="1">
    <dataValidation type="list" allowBlank="1" showInputMessage="1" showErrorMessage="1" sqref="C36" xr:uid="{B3D58CB7-7F41-446D-B4B3-8F9A3947E673}">
      <formula1>$I$37:$I$40</formula1>
    </dataValidation>
  </dataValidations>
  <hyperlinks>
    <hyperlink ref="F3" r:id="rId1" location="/pages/tables/insse-table" xr:uid="{B732EE88-65CC-4BE4-BAF8-C1B8FF233BA1}"/>
  </hyperlinks>
  <pageMargins left="0.25" right="0.25" top="0.75" bottom="0.75" header="0.3" footer="0.3"/>
  <pageSetup paperSize="9" scale="89" fitToHeight="2" orientation="landscape" r:id="rId2"/>
  <headerFooter>
    <oddHeader>&amp;F</oddHeader>
    <oddFooter>&amp;C&amp;A&amp;R&amp;P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7B80-F66C-497D-AB7E-70C7519F2199}">
  <sheetPr>
    <pageSetUpPr fitToPage="1"/>
  </sheetPr>
  <dimension ref="A1:F18"/>
  <sheetViews>
    <sheetView workbookViewId="0">
      <selection activeCell="D10" sqref="D10"/>
    </sheetView>
  </sheetViews>
  <sheetFormatPr defaultColWidth="59.140625" defaultRowHeight="15" x14ac:dyDescent="0.25"/>
  <cols>
    <col min="1" max="1" width="52" customWidth="1"/>
    <col min="2" max="2" width="22.140625" customWidth="1"/>
    <col min="3" max="3" width="23.5703125" customWidth="1"/>
    <col min="4" max="4" width="28.28515625" customWidth="1"/>
    <col min="5" max="5" width="10.5703125" bestFit="1" customWidth="1"/>
  </cols>
  <sheetData>
    <row r="1" spans="1:6" ht="45" x14ac:dyDescent="0.25">
      <c r="A1" s="55" t="s">
        <v>64</v>
      </c>
      <c r="B1" s="56" t="s">
        <v>65</v>
      </c>
      <c r="C1" s="56" t="s">
        <v>66</v>
      </c>
      <c r="D1" s="56" t="s">
        <v>67</v>
      </c>
    </row>
    <row r="2" spans="1:6" x14ac:dyDescent="0.25">
      <c r="A2" s="57" t="s">
        <v>68</v>
      </c>
      <c r="B2" s="64">
        <v>16583.798999999999</v>
      </c>
      <c r="C2" s="64">
        <f>1950590077-B9-B14-B15-B10</f>
        <v>1334380545</v>
      </c>
      <c r="D2" s="58">
        <f>C2/4.977</f>
        <v>268109412.29656419</v>
      </c>
    </row>
    <row r="3" spans="1:6" x14ac:dyDescent="0.25">
      <c r="A3" s="57" t="s">
        <v>69</v>
      </c>
      <c r="B3" s="59"/>
      <c r="C3" s="61">
        <f>C2/B2</f>
        <v>80462.89906190976</v>
      </c>
      <c r="D3" s="58">
        <f>D2/B2</f>
        <v>16166.947772133768</v>
      </c>
    </row>
    <row r="4" spans="1:6" x14ac:dyDescent="0.25">
      <c r="A4" s="57" t="s">
        <v>70</v>
      </c>
      <c r="B4" s="60"/>
      <c r="C4" s="61">
        <f>C3/1000</f>
        <v>80.462899061909766</v>
      </c>
      <c r="D4" s="61">
        <f>D3/1000</f>
        <v>16.166947772133767</v>
      </c>
    </row>
    <row r="6" spans="1:6" x14ac:dyDescent="0.25">
      <c r="A6" s="62" t="s">
        <v>71</v>
      </c>
    </row>
    <row r="7" spans="1:6" ht="57.75" x14ac:dyDescent="0.25">
      <c r="A7" s="63" t="s">
        <v>72</v>
      </c>
      <c r="B7" s="65">
        <v>268321938</v>
      </c>
      <c r="C7" s="1" t="s">
        <v>73</v>
      </c>
      <c r="E7" s="10"/>
      <c r="F7" s="10"/>
    </row>
    <row r="8" spans="1:6" ht="57.75" x14ac:dyDescent="0.25">
      <c r="A8" s="63" t="s">
        <v>74</v>
      </c>
      <c r="B8" s="65">
        <v>478344704</v>
      </c>
      <c r="C8" s="1" t="s">
        <v>73</v>
      </c>
      <c r="E8" s="10"/>
      <c r="F8" s="10"/>
    </row>
    <row r="9" spans="1:6" ht="45" x14ac:dyDescent="0.25">
      <c r="A9" s="63" t="s">
        <v>75</v>
      </c>
      <c r="B9" s="65">
        <f>3345481+43495622+461756912+11911714</f>
        <v>520509729</v>
      </c>
      <c r="C9" s="1" t="s">
        <v>73</v>
      </c>
      <c r="D9" s="25" t="s">
        <v>76</v>
      </c>
    </row>
    <row r="10" spans="1:6" ht="45" x14ac:dyDescent="0.25">
      <c r="A10" s="63" t="s">
        <v>77</v>
      </c>
      <c r="B10" s="65">
        <v>2072226</v>
      </c>
      <c r="C10" s="1" t="s">
        <v>73</v>
      </c>
      <c r="D10" s="25" t="s">
        <v>76</v>
      </c>
    </row>
    <row r="11" spans="1:6" x14ac:dyDescent="0.25">
      <c r="A11" s="1" t="s">
        <v>78</v>
      </c>
      <c r="B11" s="65">
        <v>49076208</v>
      </c>
      <c r="C11" s="1" t="s">
        <v>73</v>
      </c>
      <c r="E11" s="10"/>
      <c r="F11" s="10"/>
    </row>
    <row r="12" spans="1:6" ht="45" x14ac:dyDescent="0.25">
      <c r="A12" s="24" t="s">
        <v>79</v>
      </c>
      <c r="B12" s="65">
        <v>133263732</v>
      </c>
      <c r="C12" s="1" t="s">
        <v>73</v>
      </c>
      <c r="E12" s="10"/>
      <c r="F12" s="10"/>
    </row>
    <row r="13" spans="1:6" ht="29.25" x14ac:dyDescent="0.25">
      <c r="A13" s="63" t="s">
        <v>137</v>
      </c>
      <c r="B13" s="65">
        <v>55130248</v>
      </c>
      <c r="C13" s="1" t="s">
        <v>73</v>
      </c>
      <c r="E13" s="10"/>
      <c r="F13" s="10"/>
    </row>
    <row r="14" spans="1:6" ht="45" x14ac:dyDescent="0.25">
      <c r="A14" s="63" t="s">
        <v>80</v>
      </c>
      <c r="B14" s="65">
        <v>84980744</v>
      </c>
      <c r="C14" s="1" t="s">
        <v>73</v>
      </c>
      <c r="D14" s="25" t="s">
        <v>76</v>
      </c>
    </row>
    <row r="15" spans="1:6" ht="45" x14ac:dyDescent="0.25">
      <c r="A15" s="63" t="s">
        <v>81</v>
      </c>
      <c r="B15" s="65">
        <v>8646833</v>
      </c>
      <c r="C15" s="1" t="s">
        <v>73</v>
      </c>
      <c r="D15" s="25" t="s">
        <v>76</v>
      </c>
    </row>
    <row r="16" spans="1:6" x14ac:dyDescent="0.25">
      <c r="A16" s="63" t="s">
        <v>82</v>
      </c>
      <c r="B16" s="65">
        <f>1950590077-SUM(B7:B15)</f>
        <v>350243715</v>
      </c>
      <c r="C16" s="1" t="s">
        <v>73</v>
      </c>
      <c r="D16" s="10"/>
      <c r="E16" s="10"/>
      <c r="F16" s="10"/>
    </row>
    <row r="18" spans="2:3" x14ac:dyDescent="0.25">
      <c r="B18" s="10"/>
      <c r="C18" s="10"/>
    </row>
  </sheetData>
  <pageMargins left="0.7" right="0.7" top="0.75" bottom="0.75" header="0.3" footer="0.3"/>
  <pageSetup paperSize="9" scale="6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3503-6876-47AC-8F7E-90E91EA22DA1}">
  <dimension ref="A1:L29"/>
  <sheetViews>
    <sheetView workbookViewId="0">
      <selection activeCell="C9" activeCellId="1" sqref="C3:C4 C9"/>
    </sheetView>
  </sheetViews>
  <sheetFormatPr defaultRowHeight="15" x14ac:dyDescent="0.25"/>
  <cols>
    <col min="1" max="1" width="17.28515625" bestFit="1" customWidth="1"/>
    <col min="2" max="2" width="41.7109375" bestFit="1" customWidth="1"/>
    <col min="3" max="3" width="16.7109375" bestFit="1" customWidth="1"/>
    <col min="4" max="4" width="6.140625" bestFit="1" customWidth="1"/>
    <col min="11" max="11" width="11.5703125" bestFit="1" customWidth="1"/>
  </cols>
  <sheetData>
    <row r="1" spans="1:12" x14ac:dyDescent="0.25">
      <c r="B1" s="52" t="s">
        <v>83</v>
      </c>
    </row>
    <row r="2" spans="1:12" x14ac:dyDescent="0.25">
      <c r="B2" s="26"/>
      <c r="C2" s="26" t="s">
        <v>84</v>
      </c>
      <c r="D2" s="26"/>
      <c r="I2" t="s">
        <v>85</v>
      </c>
      <c r="L2">
        <v>4.9465000000000003</v>
      </c>
    </row>
    <row r="3" spans="1:12" x14ac:dyDescent="0.25">
      <c r="B3" t="s">
        <v>86</v>
      </c>
      <c r="C3" s="171">
        <f>1616420.11/1.19*4.9315</f>
        <v>6698635.1029117657</v>
      </c>
      <c r="K3" s="50"/>
    </row>
    <row r="4" spans="1:12" x14ac:dyDescent="0.25">
      <c r="B4" t="s">
        <v>87</v>
      </c>
      <c r="C4" s="171">
        <f>9816786.72/1.19*4.9315</f>
        <v>40681919.08376471</v>
      </c>
      <c r="K4" s="50"/>
    </row>
    <row r="5" spans="1:12" ht="15.75" thickBot="1" x14ac:dyDescent="0.3">
      <c r="B5" s="69" t="s">
        <v>6</v>
      </c>
      <c r="C5" s="44">
        <f>SUM(C3:C4)</f>
        <v>47380554.186676472</v>
      </c>
      <c r="D5" s="53">
        <f>C5/C6</f>
        <v>2.6415078854486358E-2</v>
      </c>
      <c r="K5" s="40"/>
    </row>
    <row r="6" spans="1:12" ht="15.75" thickTop="1" x14ac:dyDescent="0.25">
      <c r="B6" s="69" t="s">
        <v>88</v>
      </c>
      <c r="C6" s="51">
        <f>1793693.46*10^3</f>
        <v>1793693460</v>
      </c>
      <c r="D6" s="40"/>
      <c r="E6" s="29" t="s">
        <v>89</v>
      </c>
    </row>
    <row r="8" spans="1:12" x14ac:dyDescent="0.25">
      <c r="B8" s="27" t="s">
        <v>90</v>
      </c>
      <c r="C8" s="45">
        <v>1801682.4</v>
      </c>
      <c r="D8" s="26"/>
    </row>
    <row r="9" spans="1:12" x14ac:dyDescent="0.25">
      <c r="B9" s="27" t="s">
        <v>91</v>
      </c>
      <c r="C9" s="172">
        <f>818686.55*12/1.19*L2</f>
        <v>40836635.491512619</v>
      </c>
      <c r="D9" s="26"/>
    </row>
    <row r="10" spans="1:12" x14ac:dyDescent="0.25">
      <c r="B10" s="26" t="s">
        <v>92</v>
      </c>
      <c r="C10" s="34">
        <f>106834.844369748*L2</f>
        <v>528458.55767495849</v>
      </c>
      <c r="D10" s="26"/>
    </row>
    <row r="11" spans="1:12" ht="15.75" thickBot="1" x14ac:dyDescent="0.3">
      <c r="B11" s="69" t="s">
        <v>6</v>
      </c>
      <c r="C11" s="44">
        <f>SUM(C8:C10)</f>
        <v>43166776.449187577</v>
      </c>
      <c r="D11" s="28">
        <f>C11/C15</f>
        <v>2.2278051280599811E-2</v>
      </c>
      <c r="E11" t="s">
        <v>93</v>
      </c>
    </row>
    <row r="12" spans="1:12" ht="15.75" thickTop="1" x14ac:dyDescent="0.25">
      <c r="B12" s="29" t="s">
        <v>135</v>
      </c>
      <c r="C12" s="26"/>
      <c r="D12" s="26"/>
    </row>
    <row r="13" spans="1:12" x14ac:dyDescent="0.25">
      <c r="B13" s="26"/>
      <c r="C13" s="26"/>
      <c r="D13" s="26"/>
    </row>
    <row r="14" spans="1:12" x14ac:dyDescent="0.25">
      <c r="B14" s="26" t="s">
        <v>94</v>
      </c>
      <c r="C14" s="35">
        <v>72884000</v>
      </c>
      <c r="D14" s="28"/>
    </row>
    <row r="15" spans="1:12" x14ac:dyDescent="0.25">
      <c r="A15" t="s">
        <v>95</v>
      </c>
      <c r="B15" s="26" t="s">
        <v>96</v>
      </c>
      <c r="C15" s="35">
        <v>1937637000</v>
      </c>
      <c r="D15" s="26"/>
    </row>
    <row r="16" spans="1:12" x14ac:dyDescent="0.25">
      <c r="A16" t="s">
        <v>97</v>
      </c>
      <c r="B16" s="26" t="s">
        <v>98</v>
      </c>
      <c r="C16" s="35">
        <v>43431565</v>
      </c>
      <c r="D16" s="30"/>
    </row>
    <row r="17" spans="1:8" x14ac:dyDescent="0.25">
      <c r="A17" t="s">
        <v>99</v>
      </c>
      <c r="B17" s="26" t="s">
        <v>100</v>
      </c>
      <c r="C17" s="35">
        <v>82831214</v>
      </c>
      <c r="D17" s="32">
        <f>C17/C18</f>
        <v>3.7242783409694898E-2</v>
      </c>
      <c r="E17" s="33" t="s">
        <v>101</v>
      </c>
      <c r="F17" s="33"/>
      <c r="G17" s="33"/>
      <c r="H17" s="33"/>
    </row>
    <row r="18" spans="1:8" x14ac:dyDescent="0.25">
      <c r="A18" t="s">
        <v>99</v>
      </c>
      <c r="B18" s="26" t="s">
        <v>102</v>
      </c>
      <c r="C18" s="35">
        <v>2224087633</v>
      </c>
      <c r="D18" s="30"/>
    </row>
    <row r="19" spans="1:8" x14ac:dyDescent="0.25">
      <c r="B19" s="29" t="s">
        <v>103</v>
      </c>
    </row>
    <row r="20" spans="1:8" x14ac:dyDescent="0.25">
      <c r="B20" s="36" t="s">
        <v>104</v>
      </c>
    </row>
    <row r="23" spans="1:8" x14ac:dyDescent="0.25">
      <c r="A23" s="9"/>
      <c r="B23" s="52" t="s">
        <v>105</v>
      </c>
      <c r="C23" s="50" t="s">
        <v>106</v>
      </c>
    </row>
    <row r="24" spans="1:8" x14ac:dyDescent="0.25">
      <c r="A24" s="9" t="s">
        <v>107</v>
      </c>
      <c r="B24" t="s">
        <v>108</v>
      </c>
      <c r="C24" s="50">
        <v>1237733.5900000001</v>
      </c>
    </row>
    <row r="25" spans="1:8" x14ac:dyDescent="0.25">
      <c r="A25" s="9" t="s">
        <v>109</v>
      </c>
      <c r="B25" t="s">
        <v>88</v>
      </c>
      <c r="C25" s="50">
        <v>35644893</v>
      </c>
      <c r="D25" s="53">
        <f>C24/C25</f>
        <v>3.4724009130845196E-2</v>
      </c>
    </row>
    <row r="26" spans="1:8" x14ac:dyDescent="0.25">
      <c r="C26" s="50"/>
    </row>
    <row r="27" spans="1:8" x14ac:dyDescent="0.25">
      <c r="C27" s="50"/>
    </row>
    <row r="28" spans="1:8" x14ac:dyDescent="0.25">
      <c r="C28" s="50"/>
    </row>
    <row r="29" spans="1:8" x14ac:dyDescent="0.25">
      <c r="C29" s="50"/>
    </row>
  </sheetData>
  <hyperlinks>
    <hyperlink ref="B20" r:id="rId1" xr:uid="{DC17251F-2D26-4FFB-A862-C7537489EA0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0444E-0BDE-4095-9351-1D05C2B5405C}">
  <dimension ref="A1:J21"/>
  <sheetViews>
    <sheetView workbookViewId="0">
      <selection activeCell="A7" sqref="A7"/>
    </sheetView>
  </sheetViews>
  <sheetFormatPr defaultRowHeight="15" x14ac:dyDescent="0.25"/>
  <cols>
    <col min="1" max="1" width="97" customWidth="1"/>
    <col min="2" max="2" width="9.28515625" bestFit="1" customWidth="1"/>
    <col min="3" max="3" width="15.7109375" bestFit="1" customWidth="1"/>
    <col min="4" max="4" width="15.28515625" bestFit="1" customWidth="1"/>
    <col min="5" max="5" width="16.140625" bestFit="1" customWidth="1"/>
  </cols>
  <sheetData>
    <row r="1" spans="1:10" ht="70.5" customHeight="1" x14ac:dyDescent="0.25">
      <c r="A1" s="170" t="s">
        <v>110</v>
      </c>
      <c r="B1" s="170"/>
      <c r="C1" s="170"/>
      <c r="D1" s="170"/>
      <c r="E1" s="170"/>
      <c r="F1" s="170"/>
      <c r="G1" s="170"/>
      <c r="H1" s="170"/>
      <c r="I1" s="170"/>
      <c r="J1" s="170"/>
    </row>
    <row r="2" spans="1:10" x14ac:dyDescent="0.25">
      <c r="A2" s="46" t="s">
        <v>111</v>
      </c>
    </row>
    <row r="4" spans="1:10" x14ac:dyDescent="0.25">
      <c r="A4" s="47" t="s">
        <v>112</v>
      </c>
      <c r="B4" s="47" t="s">
        <v>113</v>
      </c>
      <c r="C4" s="47" t="s">
        <v>114</v>
      </c>
      <c r="D4" s="47" t="s">
        <v>115</v>
      </c>
      <c r="E4" s="47" t="s">
        <v>116</v>
      </c>
    </row>
    <row r="5" spans="1:10" x14ac:dyDescent="0.25">
      <c r="A5" s="47" t="s">
        <v>117</v>
      </c>
      <c r="B5" s="47">
        <v>50</v>
      </c>
      <c r="C5" s="47">
        <v>22</v>
      </c>
      <c r="D5" s="47">
        <v>20</v>
      </c>
      <c r="E5" s="47">
        <v>18</v>
      </c>
    </row>
    <row r="6" spans="1:10" x14ac:dyDescent="0.25">
      <c r="A6" s="27" t="s">
        <v>118</v>
      </c>
    </row>
    <row r="7" spans="1:10" x14ac:dyDescent="0.25">
      <c r="A7" t="s">
        <v>119</v>
      </c>
    </row>
    <row r="8" spans="1:10" ht="94.5" customHeight="1" x14ac:dyDescent="0.25">
      <c r="A8" s="48" t="s">
        <v>120</v>
      </c>
    </row>
    <row r="10" spans="1:10" ht="46.5" x14ac:dyDescent="0.25">
      <c r="A10" s="49" t="s">
        <v>121</v>
      </c>
    </row>
    <row r="12" spans="1:10" x14ac:dyDescent="0.25">
      <c r="A12" s="36" t="s">
        <v>122</v>
      </c>
    </row>
    <row r="14" spans="1:10" x14ac:dyDescent="0.25">
      <c r="A14" s="36" t="s">
        <v>123</v>
      </c>
    </row>
    <row r="15" spans="1:10" x14ac:dyDescent="0.25">
      <c r="A15" s="26" t="s">
        <v>124</v>
      </c>
    </row>
    <row r="16" spans="1:10" x14ac:dyDescent="0.25">
      <c r="A16" s="26" t="s">
        <v>125</v>
      </c>
    </row>
    <row r="18" spans="1:1" x14ac:dyDescent="0.25">
      <c r="A18" s="26" t="s">
        <v>126</v>
      </c>
    </row>
    <row r="19" spans="1:1" x14ac:dyDescent="0.25">
      <c r="A19" s="26" t="s">
        <v>127</v>
      </c>
    </row>
    <row r="20" spans="1:1" x14ac:dyDescent="0.25">
      <c r="A20" s="26" t="s">
        <v>128</v>
      </c>
    </row>
    <row r="21" spans="1:1" x14ac:dyDescent="0.25">
      <c r="A21" s="26" t="s">
        <v>129</v>
      </c>
    </row>
  </sheetData>
  <mergeCells count="1">
    <mergeCell ref="A1:J1"/>
  </mergeCells>
  <hyperlinks>
    <hyperlink ref="A12" r:id="rId1" xr:uid="{41A49174-9429-4240-B4EA-B6A81A2DA46C}"/>
    <hyperlink ref="A14" r:id="rId2" display="4.5. Limitele zonelor drumurilor, conform Ordonanței Guvernului nr. 43/1997 privind regimul drumurilor, republicată, cu modificările și completările ulterioare, sunt următoarele:a) zonele de siguranță ale drumurilor sunt cuprinse de la limita exterioară a amprizei drumului până la:(i) 1,50 m - de la marginea exterioară a dispozitivelor de preluare a apelor meteorice, pentru drumurile situate la nivelul terenului;(ii) 2,00 m - de la piciorul taluzului, pentru drumurile în rambleu;(iii) 3,00 m - de la marginea de sus a taluzului, pentru drumurile în debleu cu înălțimea taluzului de până la 5,00 m inclusiv;(iv) 5,00 m - de la marginea de sus a taluzului, pentru drumurile în debleu cu înălțimea taluzului mai mare de 5,00 m;" xr:uid="{F1C6328B-11D4-48BE-92CA-56E14AA25E3A}"/>
  </hyperlinks>
  <pageMargins left="0.7" right="0.7" top="0.75" bottom="0.75" header="0.3" footer="0.3"/>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l X 3 3 W P F q 3 7 K k A A A A 9 g A A A B I A H A B D b 2 5 m a W c v U G F j a 2 F n Z S 5 4 b W w g o h g A K K A U A A A A A A A A A A A A A A A A A A A A A A A A A A A A h Y 9 B D o I w F E S v Q r q n L T U m S j 5 l 4 V Y S E 6 J x S 2 q F R v g Y W i x 3 c + G R v I I Y R d 2 5 n D d v M X O / 3 i A d m j q 4 6 M 6 a F h M S U U 4 C j a o 9 G C w T 0 r t j u C C p h E 2 h T k W p g 1 F G G w / 2 k J D K u X P M m P e e + h l t u 5 I J z i O 2 z 9 a 5 q n R T k I 9 s / s u h Q e s K V J p I 2 L 3 G S E E j s a R i L i g H N k H I D H 4 F M e 5 9 t j 8 Q V n 3 t + k 5 L j e E 2 B z Z F Y O 8 P 8 g F Q S w M E F A A C A A g A l X 3 3 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V 9 9 1 g o i k e 4 D g A A A B E A A A A T A B w A R m 9 y b X V s Y X M v U 2 V j d G l v b j E u b S C i G A A o o B Q A A A A A A A A A A A A A A A A A A A A A A A A A A A A r T k 0 u y c z P U w i G 0 I b W A F B L A Q I t A B Q A A g A I A J V 9 9 1 j x a t + y p A A A A P Y A A A A S A A A A A A A A A A A A A A A A A A A A A A B D b 2 5 m a W c v U G F j a 2 F n Z S 5 4 b W x Q S w E C L Q A U A A I A C A C V f f d Y D 8 r p q 6 Q A A A D p A A A A E w A A A A A A A A A A A A A A A A D w A A A A W 0 N v b n R l b n R f V H l w Z X N d L n h t b F B L A Q I t A B Q A A g A I A J V 9 9 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2 y 1 6 M M j l R b 3 f h F m x / a F m A A A A A A I A A A A A A A N m A A D A A A A A E A A A A L 5 i N p q F L u A N V C s W 2 q x B 5 z Q A A A A A B I A A A K A A A A A Q A A A A x D 4 w e h D 2 J D Z K 5 J L b d s M l Q 1 A A A A C w e E X 2 V L g I v f a J 3 s Q 8 v 0 8 Z N I k R 7 Y B A o p c b P d j Y h R n O h + q Y Y H R 0 R 7 s r V f I V s y H z a b 4 Z h m M n 0 F 3 L a p g R K O D j W / 3 g t w 4 G l e q P z D F L w v g d K 3 7 w j B Q A A A B f 6 C F W P O T f S 5 n v R i R P + P l 2 X 4 R 8 U A = = < / D a t a M a s h u p > 
</file>

<file path=customXml/itemProps1.xml><?xml version="1.0" encoding="utf-8"?>
<ds:datastoreItem xmlns:ds="http://schemas.openxmlformats.org/officeDocument/2006/customXml" ds:itemID="{A0270020-F77B-4F91-BA4A-56F321BB07C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Autostrazi</vt:lpstr>
      <vt:lpstr>Dr expres_dr nationale</vt:lpstr>
      <vt:lpstr>drumuri judetene</vt:lpstr>
      <vt:lpstr>OPEX CNAIR</vt:lpstr>
      <vt:lpstr>% in CA</vt:lpstr>
      <vt:lpstr>Latimi drumuri</vt:lpstr>
      <vt:lpstr>Autostrazi!Print_Area</vt:lpstr>
      <vt:lpstr>'Dr expres_dr nationale'!Print_Area</vt:lpstr>
      <vt:lpstr>'drumuri judetene'!Print_Area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Roxana Ionela Cirjan</dc:creator>
  <cp:keywords/>
  <dc:description/>
  <cp:lastModifiedBy>Roxana Ionela Cirjan</cp:lastModifiedBy>
  <cp:revision/>
  <cp:lastPrinted>2024-07-25T09:26:15Z</cp:lastPrinted>
  <dcterms:created xsi:type="dcterms:W3CDTF">2024-07-04T10:33:55Z</dcterms:created>
  <dcterms:modified xsi:type="dcterms:W3CDTF">2025-01-31T08:41:19Z</dcterms:modified>
  <cp:category/>
  <cp:contentStatus/>
</cp:coreProperties>
</file>