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ncomorgro-my.sharepoint.com/personal/corina_voicu_ancom_ro/Documents/Desktop/LEGISLATIE/Servicii postale_CNPR/PRICE CAP servicii postale/Price cap CNPR_desemnare 2025_2029/"/>
    </mc:Choice>
  </mc:AlternateContent>
  <xr:revisionPtr revIDLastSave="74" documentId="8_{2C5FBF93-C5C8-4EE4-A1C1-F53568A4E3FE}" xr6:coauthVersionLast="47" xr6:coauthVersionMax="47" xr10:uidLastSave="{859C0722-8648-4107-9BED-BBC4EDC74FFC}"/>
  <bookViews>
    <workbookView xWindow="28680" yWindow="-120" windowWidth="29040" windowHeight="15840" activeTab="6" xr2:uid="{00000000-000D-0000-FFFF-FFFF00000000}"/>
  </bookViews>
  <sheets>
    <sheet name="Outputuri" sheetId="1" r:id="rId1"/>
    <sheet name="Indicii prețurilor" sheetId="9" r:id="rId2"/>
    <sheet name="Muncă" sheetId="2" r:id="rId3"/>
    <sheet name="Materiale" sheetId="4" r:id="rId4"/>
    <sheet name="Capital angajat" sheetId="8" r:id="rId5"/>
    <sheet name="Costul Capitalului" sheetId="6" r:id="rId6"/>
    <sheet name="X&amp;Z Factor" sheetId="5" r:id="rId7"/>
  </sheets>
  <externalReferences>
    <externalReference r:id="rId8"/>
    <externalReference r:id="rId9"/>
    <externalReference r:id="rId10"/>
    <externalReference r:id="rId11"/>
    <externalReference r:id="rId12"/>
    <externalReference r:id="rId1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8" i="8" l="1"/>
  <c r="E18" i="8"/>
  <c r="F18" i="8"/>
  <c r="G18" i="8"/>
  <c r="D19" i="8"/>
  <c r="E19" i="8"/>
  <c r="F19" i="8"/>
  <c r="G19" i="8"/>
  <c r="D20" i="8"/>
  <c r="E20" i="8"/>
  <c r="F20" i="8"/>
  <c r="G20" i="8"/>
  <c r="D21" i="8"/>
  <c r="E21" i="8"/>
  <c r="F21" i="8"/>
  <c r="G21" i="8"/>
  <c r="C21" i="8"/>
  <c r="C20" i="8"/>
  <c r="C19" i="8"/>
  <c r="C18" i="8"/>
  <c r="D11" i="8"/>
  <c r="E11" i="8"/>
  <c r="F11" i="8"/>
  <c r="G11" i="8"/>
  <c r="D12" i="8"/>
  <c r="E12" i="8"/>
  <c r="F12" i="8"/>
  <c r="G12" i="8"/>
  <c r="D13" i="8"/>
  <c r="E13" i="8"/>
  <c r="F13" i="8"/>
  <c r="G13" i="8"/>
  <c r="D14" i="8"/>
  <c r="E14" i="8"/>
  <c r="F14" i="8"/>
  <c r="G14" i="8"/>
  <c r="C14" i="8"/>
  <c r="C13" i="8"/>
  <c r="C12" i="8"/>
  <c r="C11" i="8"/>
  <c r="D5" i="8"/>
  <c r="E5" i="8"/>
  <c r="F5" i="8"/>
  <c r="G5" i="8"/>
  <c r="D6" i="8"/>
  <c r="E6" i="8"/>
  <c r="F6" i="8"/>
  <c r="G6" i="8"/>
  <c r="D7" i="8"/>
  <c r="E7" i="8"/>
  <c r="F7" i="8"/>
  <c r="G7" i="8"/>
  <c r="C7" i="8"/>
  <c r="C6" i="8"/>
  <c r="C5" i="8"/>
  <c r="D5" i="4"/>
  <c r="E5" i="4"/>
  <c r="F5" i="4"/>
  <c r="G5" i="4"/>
  <c r="D6" i="4"/>
  <c r="E6" i="4"/>
  <c r="F6" i="4"/>
  <c r="G6" i="4"/>
  <c r="D7" i="4"/>
  <c r="E7" i="4"/>
  <c r="F7" i="4"/>
  <c r="G7" i="4"/>
  <c r="D8" i="4"/>
  <c r="E8" i="4"/>
  <c r="F8" i="4"/>
  <c r="G8" i="4"/>
  <c r="D9" i="4"/>
  <c r="E9" i="4"/>
  <c r="F9" i="4"/>
  <c r="G9" i="4"/>
  <c r="D10" i="4"/>
  <c r="E10" i="4"/>
  <c r="F10" i="4"/>
  <c r="G10" i="4"/>
  <c r="D11" i="4"/>
  <c r="E11" i="4"/>
  <c r="F11" i="4"/>
  <c r="G11" i="4"/>
  <c r="D12" i="4"/>
  <c r="E12" i="4"/>
  <c r="F12" i="4"/>
  <c r="G12" i="4"/>
  <c r="D13" i="4"/>
  <c r="E13" i="4"/>
  <c r="F13" i="4"/>
  <c r="G13" i="4"/>
  <c r="D14" i="4"/>
  <c r="E14" i="4"/>
  <c r="F14" i="4"/>
  <c r="G14" i="4"/>
  <c r="D15" i="4"/>
  <c r="E15" i="4"/>
  <c r="F15" i="4"/>
  <c r="G15" i="4"/>
  <c r="D16" i="4"/>
  <c r="E16" i="4"/>
  <c r="F16" i="4"/>
  <c r="G16" i="4"/>
  <c r="D17" i="4"/>
  <c r="E17" i="4"/>
  <c r="F17" i="4"/>
  <c r="G17" i="4"/>
  <c r="D18" i="4"/>
  <c r="E18" i="4"/>
  <c r="F18" i="4"/>
  <c r="G18" i="4"/>
  <c r="D19" i="4"/>
  <c r="E19" i="4"/>
  <c r="F19" i="4"/>
  <c r="G19" i="4"/>
  <c r="D20" i="4"/>
  <c r="E20" i="4"/>
  <c r="F20" i="4"/>
  <c r="G20" i="4"/>
  <c r="D21" i="4"/>
  <c r="E21" i="4"/>
  <c r="F21" i="4"/>
  <c r="G21" i="4"/>
  <c r="D22" i="4"/>
  <c r="E22" i="4"/>
  <c r="F22" i="4"/>
  <c r="G22" i="4"/>
  <c r="C22" i="4"/>
  <c r="C21" i="4"/>
  <c r="C20" i="4"/>
  <c r="C19" i="4"/>
  <c r="C18" i="4"/>
  <c r="C17" i="4"/>
  <c r="C16" i="4"/>
  <c r="C15" i="4"/>
  <c r="C14" i="4"/>
  <c r="C13" i="4"/>
  <c r="C12" i="4"/>
  <c r="C11" i="4"/>
  <c r="C10" i="4"/>
  <c r="C9" i="4"/>
  <c r="C8" i="4"/>
  <c r="C7" i="4"/>
  <c r="C6" i="4"/>
  <c r="C5" i="4"/>
  <c r="D6" i="2"/>
  <c r="E6" i="2"/>
  <c r="F6" i="2"/>
  <c r="G6" i="2"/>
  <c r="C6" i="2"/>
  <c r="D35" i="1"/>
  <c r="E35" i="1"/>
  <c r="F35" i="1"/>
  <c r="G35" i="1"/>
  <c r="D36" i="1"/>
  <c r="E36" i="1"/>
  <c r="F36" i="1"/>
  <c r="G36" i="1"/>
  <c r="D37" i="1"/>
  <c r="E37" i="1"/>
  <c r="F37" i="1"/>
  <c r="G37" i="1"/>
  <c r="D38" i="1"/>
  <c r="E38" i="1"/>
  <c r="F38" i="1"/>
  <c r="G38" i="1"/>
  <c r="D39" i="1"/>
  <c r="E39" i="1"/>
  <c r="F39" i="1"/>
  <c r="G39" i="1"/>
  <c r="D40" i="1"/>
  <c r="E40" i="1"/>
  <c r="F40" i="1"/>
  <c r="G40" i="1"/>
  <c r="D41" i="1"/>
  <c r="E41" i="1"/>
  <c r="F41" i="1"/>
  <c r="G41" i="1"/>
  <c r="D42" i="1"/>
  <c r="E42" i="1"/>
  <c r="F42" i="1"/>
  <c r="G42" i="1"/>
  <c r="D43" i="1"/>
  <c r="E43" i="1"/>
  <c r="F43" i="1"/>
  <c r="G43" i="1"/>
  <c r="D44" i="1"/>
  <c r="E44" i="1"/>
  <c r="F44" i="1"/>
  <c r="G44" i="1"/>
  <c r="D45" i="1"/>
  <c r="E45" i="1"/>
  <c r="F45" i="1"/>
  <c r="G45" i="1"/>
  <c r="D46" i="1"/>
  <c r="E46" i="1"/>
  <c r="F46" i="1"/>
  <c r="G46" i="1"/>
  <c r="C35" i="1"/>
  <c r="C46" i="1"/>
  <c r="C45" i="1"/>
  <c r="C44" i="1"/>
  <c r="C43" i="1"/>
  <c r="C42" i="1"/>
  <c r="C41" i="1"/>
  <c r="C40" i="1"/>
  <c r="C39" i="1"/>
  <c r="C38" i="1"/>
  <c r="C37" i="1"/>
  <c r="C36" i="1"/>
  <c r="D5" i="1"/>
  <c r="E5" i="1"/>
  <c r="F5" i="1"/>
  <c r="G5" i="1"/>
  <c r="D6" i="1"/>
  <c r="E6" i="1"/>
  <c r="F6" i="1"/>
  <c r="G6" i="1"/>
  <c r="D7" i="1"/>
  <c r="E7" i="1"/>
  <c r="F7" i="1"/>
  <c r="G7" i="1"/>
  <c r="D8" i="1"/>
  <c r="E8" i="1"/>
  <c r="F8" i="1"/>
  <c r="G8" i="1"/>
  <c r="D9" i="1"/>
  <c r="E9" i="1"/>
  <c r="F9" i="1"/>
  <c r="G9" i="1"/>
  <c r="D10" i="1"/>
  <c r="E10" i="1"/>
  <c r="F10" i="1"/>
  <c r="G10" i="1"/>
  <c r="D11" i="1"/>
  <c r="E11" i="1"/>
  <c r="F11" i="1"/>
  <c r="G11" i="1"/>
  <c r="D12" i="1"/>
  <c r="E12" i="1"/>
  <c r="F12" i="1"/>
  <c r="G12" i="1"/>
  <c r="D13" i="1"/>
  <c r="E13" i="1"/>
  <c r="F13" i="1"/>
  <c r="G13" i="1"/>
  <c r="D15" i="1"/>
  <c r="E15" i="1"/>
  <c r="F15" i="1"/>
  <c r="G15" i="1"/>
  <c r="D16" i="1"/>
  <c r="E16" i="1"/>
  <c r="F16" i="1"/>
  <c r="G16" i="1"/>
  <c r="C16" i="1"/>
  <c r="C5" i="1"/>
  <c r="C15" i="1"/>
  <c r="C13" i="1"/>
  <c r="C12" i="1"/>
  <c r="C11" i="1"/>
  <c r="C10" i="1"/>
  <c r="C9" i="1"/>
  <c r="C8" i="1"/>
  <c r="C7" i="1"/>
  <c r="C6" i="1"/>
  <c r="G17" i="1" l="1"/>
  <c r="C17" i="1"/>
  <c r="C24" i="4" l="1"/>
  <c r="C76" i="4" l="1"/>
  <c r="C23" i="4"/>
  <c r="E68" i="5"/>
  <c r="G9" i="2" l="1"/>
  <c r="C27" i="5"/>
  <c r="G19" i="9" l="1"/>
  <c r="D61" i="1" l="1"/>
  <c r="F51" i="1" l="1"/>
  <c r="F54" i="1"/>
  <c r="G17" i="9" l="1"/>
  <c r="F22" i="8" l="1"/>
  <c r="F24" i="4" l="1"/>
  <c r="F23" i="4" s="1"/>
  <c r="G47" i="1" l="1"/>
  <c r="G31" i="1" l="1"/>
  <c r="E62" i="1" l="1"/>
  <c r="F62" i="1"/>
  <c r="F61" i="1" l="1"/>
  <c r="E61" i="1"/>
  <c r="D62" i="1"/>
  <c r="F17" i="1"/>
  <c r="E17" i="1"/>
  <c r="D17" i="1"/>
  <c r="D47" i="1"/>
  <c r="F25" i="1" l="1"/>
  <c r="C22" i="1"/>
  <c r="C20" i="1"/>
  <c r="C21" i="1"/>
  <c r="C24" i="1"/>
  <c r="C30" i="1"/>
  <c r="C29" i="1"/>
  <c r="C26" i="1"/>
  <c r="C23" i="1"/>
  <c r="C25" i="1"/>
  <c r="C28" i="1"/>
  <c r="F53" i="1" l="1"/>
  <c r="E53" i="1"/>
  <c r="C22" i="8" l="1"/>
  <c r="C15" i="8"/>
  <c r="C8" i="8"/>
  <c r="C29" i="4"/>
  <c r="C36" i="8" l="1"/>
  <c r="C25" i="8"/>
  <c r="F19" i="9"/>
  <c r="D19" i="9"/>
  <c r="F17" i="9"/>
  <c r="E19" i="9" l="1"/>
  <c r="E17" i="9"/>
  <c r="D17" i="9" l="1"/>
  <c r="G24" i="9" l="1"/>
  <c r="F24" i="9"/>
  <c r="E24" i="9"/>
  <c r="D24" i="9"/>
  <c r="C24" i="9"/>
  <c r="C27" i="9" l="1"/>
  <c r="D27" i="9" s="1"/>
  <c r="C28" i="9"/>
  <c r="C29" i="9"/>
  <c r="C30" i="9"/>
  <c r="C32" i="9"/>
  <c r="C33" i="9"/>
  <c r="C34" i="9"/>
  <c r="C35" i="9"/>
  <c r="C36" i="9"/>
  <c r="C37" i="9"/>
  <c r="C38" i="9"/>
  <c r="C39" i="9"/>
  <c r="C40" i="9"/>
  <c r="C41" i="9"/>
  <c r="C42" i="9"/>
  <c r="C43" i="9"/>
  <c r="C44" i="9"/>
  <c r="D44" i="9" s="1"/>
  <c r="E44" i="9" s="1"/>
  <c r="E47" i="5" s="1"/>
  <c r="C45" i="9"/>
  <c r="C46" i="9"/>
  <c r="D46" i="9" s="1"/>
  <c r="E46" i="9" s="1"/>
  <c r="F46" i="9" s="1"/>
  <c r="G46" i="9" s="1"/>
  <c r="G28" i="8" s="1"/>
  <c r="D51" i="1" l="1"/>
  <c r="D20" i="1"/>
  <c r="C47" i="1" l="1"/>
  <c r="G62" i="1"/>
  <c r="E47" i="1"/>
  <c r="F47" i="1"/>
  <c r="F31" i="1" l="1"/>
  <c r="E31" i="1" l="1"/>
  <c r="D31" i="1"/>
  <c r="C31" i="1"/>
  <c r="D28" i="1"/>
  <c r="D27" i="1"/>
  <c r="D26" i="1"/>
  <c r="D25" i="1"/>
  <c r="D23" i="1"/>
  <c r="D24" i="1"/>
  <c r="D22" i="1"/>
  <c r="D21" i="1"/>
  <c r="D59" i="1" l="1"/>
  <c r="E59" i="1"/>
  <c r="F59" i="1"/>
  <c r="G59" i="1"/>
  <c r="E12" i="2" l="1"/>
  <c r="D8" i="8" l="1"/>
  <c r="E8" i="8"/>
  <c r="F8" i="8"/>
  <c r="G8" i="8"/>
  <c r="C62" i="5" l="1"/>
  <c r="C65" i="5" s="1"/>
  <c r="C61" i="5" l="1"/>
  <c r="G24" i="4" l="1"/>
  <c r="G23" i="4" s="1"/>
  <c r="C68" i="4" l="1"/>
  <c r="G68" i="4"/>
  <c r="D22" i="8" l="1"/>
  <c r="D15" i="8"/>
  <c r="D25" i="8" s="1"/>
  <c r="G22" i="8" l="1"/>
  <c r="E22" i="8"/>
  <c r="G15" i="8" l="1"/>
  <c r="G25" i="8" s="1"/>
  <c r="D45" i="9" l="1"/>
  <c r="D55" i="1" l="1"/>
  <c r="D74" i="1" l="1"/>
  <c r="E74" i="1"/>
  <c r="F74" i="1"/>
  <c r="G74" i="1"/>
  <c r="C74" i="1"/>
  <c r="C9" i="9" s="1"/>
  <c r="C31" i="9" s="1"/>
  <c r="G9" i="9" l="1"/>
  <c r="F9" i="9"/>
  <c r="E9" i="9"/>
  <c r="D9" i="9"/>
  <c r="G32" i="5"/>
  <c r="F32" i="5"/>
  <c r="E32" i="5"/>
  <c r="D32" i="5"/>
  <c r="C32" i="5"/>
  <c r="C38" i="5" l="1"/>
  <c r="D28" i="8"/>
  <c r="E28" i="8"/>
  <c r="F28" i="8"/>
  <c r="G31" i="8" s="1"/>
  <c r="C28" i="8"/>
  <c r="F44" i="9" l="1"/>
  <c r="G44" i="9" s="1"/>
  <c r="D21" i="6"/>
  <c r="E21" i="6"/>
  <c r="F21" i="6"/>
  <c r="G21" i="6"/>
  <c r="C21" i="6"/>
  <c r="E45" i="9" l="1"/>
  <c r="F45" i="9" l="1"/>
  <c r="G45" i="9" s="1"/>
  <c r="C34" i="4" l="1"/>
  <c r="D29" i="9"/>
  <c r="E29" i="9" s="1"/>
  <c r="F29" i="9" s="1"/>
  <c r="G29" i="9" s="1"/>
  <c r="D30" i="9"/>
  <c r="E30" i="9" s="1"/>
  <c r="F30" i="9" s="1"/>
  <c r="G30" i="9" s="1"/>
  <c r="D31" i="9"/>
  <c r="E31" i="9" s="1"/>
  <c r="F31" i="9" s="1"/>
  <c r="G31" i="9" s="1"/>
  <c r="C38" i="4"/>
  <c r="D33" i="9"/>
  <c r="E33" i="9" s="1"/>
  <c r="F33" i="9" s="1"/>
  <c r="G33" i="9" s="1"/>
  <c r="D34" i="9"/>
  <c r="E34" i="9" s="1"/>
  <c r="F34" i="9" s="1"/>
  <c r="G34" i="9" s="1"/>
  <c r="D35" i="9"/>
  <c r="E35" i="9" s="1"/>
  <c r="F35" i="9" s="1"/>
  <c r="G35" i="9" s="1"/>
  <c r="C42" i="4"/>
  <c r="D37" i="9"/>
  <c r="E37" i="9" s="1"/>
  <c r="F37" i="9" s="1"/>
  <c r="G37" i="9" s="1"/>
  <c r="D38" i="9"/>
  <c r="E38" i="9" s="1"/>
  <c r="F38" i="9" s="1"/>
  <c r="G38" i="9" s="1"/>
  <c r="D39" i="9"/>
  <c r="E39" i="9" s="1"/>
  <c r="F39" i="9" s="1"/>
  <c r="G39" i="9" s="1"/>
  <c r="C46" i="4"/>
  <c r="D41" i="9"/>
  <c r="E41" i="9" s="1"/>
  <c r="F41" i="9" s="1"/>
  <c r="G41" i="9" s="1"/>
  <c r="D42" i="9"/>
  <c r="E42" i="9" s="1"/>
  <c r="F42" i="9" s="1"/>
  <c r="G42" i="9" s="1"/>
  <c r="D43" i="9"/>
  <c r="E43" i="9" s="1"/>
  <c r="F43" i="9" s="1"/>
  <c r="G43" i="9" s="1"/>
  <c r="D28" i="9"/>
  <c r="E28" i="9" s="1"/>
  <c r="F28" i="9" s="1"/>
  <c r="G28" i="9" s="1"/>
  <c r="E27" i="9" l="1"/>
  <c r="F27" i="9" s="1"/>
  <c r="G44" i="4"/>
  <c r="F43" i="4"/>
  <c r="G39" i="4"/>
  <c r="E37" i="4"/>
  <c r="C36" i="4"/>
  <c r="D48" i="4"/>
  <c r="C47" i="4"/>
  <c r="E49" i="4"/>
  <c r="C48" i="4"/>
  <c r="D44" i="4"/>
  <c r="C43" i="4"/>
  <c r="G40" i="4"/>
  <c r="F39" i="4"/>
  <c r="G35" i="4"/>
  <c r="G47" i="4"/>
  <c r="E45" i="4"/>
  <c r="C44" i="4"/>
  <c r="D40" i="4"/>
  <c r="C39" i="4"/>
  <c r="G36" i="4"/>
  <c r="F35" i="4"/>
  <c r="G48" i="4"/>
  <c r="F47" i="4"/>
  <c r="G43" i="4"/>
  <c r="E41" i="4"/>
  <c r="C40" i="4"/>
  <c r="D36" i="4"/>
  <c r="C35" i="4"/>
  <c r="F34" i="4"/>
  <c r="D40" i="9"/>
  <c r="D49" i="4"/>
  <c r="D41" i="4"/>
  <c r="D37" i="4"/>
  <c r="G49" i="4"/>
  <c r="C49" i="4"/>
  <c r="F48" i="4"/>
  <c r="E47" i="4"/>
  <c r="G45" i="4"/>
  <c r="C45" i="4"/>
  <c r="F44" i="4"/>
  <c r="E43" i="4"/>
  <c r="G41" i="4"/>
  <c r="C41" i="4"/>
  <c r="F40" i="4"/>
  <c r="E39" i="4"/>
  <c r="G37" i="4"/>
  <c r="C37" i="4"/>
  <c r="F36" i="4"/>
  <c r="E35" i="4"/>
  <c r="D34" i="4"/>
  <c r="D45" i="4"/>
  <c r="E34" i="4"/>
  <c r="D36" i="9"/>
  <c r="D32" i="9"/>
  <c r="D33" i="4"/>
  <c r="F49" i="4"/>
  <c r="E48" i="4"/>
  <c r="D47" i="4"/>
  <c r="F45" i="4"/>
  <c r="E44" i="4"/>
  <c r="D43" i="4"/>
  <c r="F41" i="4"/>
  <c r="E40" i="4"/>
  <c r="D39" i="4"/>
  <c r="F37" i="4"/>
  <c r="E36" i="4"/>
  <c r="D35" i="4"/>
  <c r="G34" i="4"/>
  <c r="E33" i="4" l="1"/>
  <c r="G27" i="9"/>
  <c r="F33" i="4"/>
  <c r="E36" i="9"/>
  <c r="D42" i="4"/>
  <c r="E32" i="9"/>
  <c r="D38" i="4"/>
  <c r="E40" i="9"/>
  <c r="D46" i="4"/>
  <c r="E15" i="8"/>
  <c r="E25" i="8" s="1"/>
  <c r="F15" i="8"/>
  <c r="F25" i="8" s="1"/>
  <c r="G33" i="4" l="1"/>
  <c r="F32" i="9"/>
  <c r="E38" i="4"/>
  <c r="F40" i="9"/>
  <c r="E46" i="4"/>
  <c r="F36" i="9"/>
  <c r="E42" i="4"/>
  <c r="G40" i="9" l="1"/>
  <c r="F46" i="4"/>
  <c r="G36" i="9"/>
  <c r="F42" i="4"/>
  <c r="G32" i="9"/>
  <c r="F38" i="4"/>
  <c r="G42" i="4" l="1"/>
  <c r="G38" i="4"/>
  <c r="G46" i="4"/>
  <c r="D52" i="1" l="1"/>
  <c r="E52" i="1"/>
  <c r="F52" i="1"/>
  <c r="G52" i="1"/>
  <c r="D53" i="1"/>
  <c r="G53" i="1"/>
  <c r="D54" i="1"/>
  <c r="E54" i="1"/>
  <c r="G54" i="1"/>
  <c r="E55" i="1"/>
  <c r="F55" i="1"/>
  <c r="G55" i="1"/>
  <c r="D56" i="1"/>
  <c r="E56" i="1"/>
  <c r="F56" i="1"/>
  <c r="G56" i="1"/>
  <c r="D57" i="1"/>
  <c r="E57" i="1"/>
  <c r="F57" i="1"/>
  <c r="G57" i="1"/>
  <c r="D58" i="1"/>
  <c r="E58" i="1"/>
  <c r="F58" i="1"/>
  <c r="G58" i="1"/>
  <c r="D60" i="1"/>
  <c r="E60" i="1"/>
  <c r="F60" i="1"/>
  <c r="G60" i="1"/>
  <c r="G61" i="1"/>
  <c r="E51" i="1"/>
  <c r="G51" i="1"/>
  <c r="C5" i="6" l="1"/>
  <c r="D5" i="6"/>
  <c r="D29" i="1"/>
  <c r="D30" i="1"/>
  <c r="C27" i="1"/>
  <c r="D65" i="1" s="1"/>
  <c r="D66" i="1" l="1"/>
  <c r="D67" i="1" s="1"/>
  <c r="D68" i="1" s="1"/>
  <c r="D69" i="1" s="1"/>
  <c r="D26" i="5" s="1"/>
  <c r="E65" i="1"/>
  <c r="D32" i="1"/>
  <c r="C32" i="1"/>
  <c r="D70" i="1" l="1"/>
  <c r="D47" i="5"/>
  <c r="E48" i="5" s="1"/>
  <c r="C47" i="5"/>
  <c r="C37" i="5"/>
  <c r="G8" i="6"/>
  <c r="F8" i="6"/>
  <c r="D8" i="6"/>
  <c r="C8" i="6"/>
  <c r="G28" i="4"/>
  <c r="F28" i="4"/>
  <c r="D28" i="4"/>
  <c r="C28" i="4"/>
  <c r="E24" i="4"/>
  <c r="E23" i="4" s="1"/>
  <c r="D24" i="4"/>
  <c r="D23" i="4" s="1"/>
  <c r="E8" i="6"/>
  <c r="G12" i="2"/>
  <c r="G14" i="5" s="1"/>
  <c r="F12" i="2"/>
  <c r="F14" i="5" s="1"/>
  <c r="E14" i="5"/>
  <c r="D12" i="2"/>
  <c r="D14" i="5" s="1"/>
  <c r="C12" i="2"/>
  <c r="C14" i="5" s="1"/>
  <c r="F9" i="2"/>
  <c r="E9" i="2"/>
  <c r="D9" i="2"/>
  <c r="G28" i="1"/>
  <c r="F67" i="4" l="1"/>
  <c r="F68" i="4"/>
  <c r="D67" i="4"/>
  <c r="D68" i="4"/>
  <c r="E67" i="4"/>
  <c r="E68" i="4"/>
  <c r="E5" i="6"/>
  <c r="E28" i="1"/>
  <c r="F5" i="6"/>
  <c r="F28" i="1"/>
  <c r="G5" i="6"/>
  <c r="G21" i="1"/>
  <c r="G23" i="1"/>
  <c r="G25" i="1"/>
  <c r="G27" i="1"/>
  <c r="G29" i="1"/>
  <c r="G20" i="1"/>
  <c r="G22" i="1"/>
  <c r="G24" i="1"/>
  <c r="G26" i="1"/>
  <c r="G30" i="1"/>
  <c r="C9" i="2"/>
  <c r="D10" i="2" s="1"/>
  <c r="G32" i="8"/>
  <c r="C37" i="8"/>
  <c r="D31" i="8"/>
  <c r="G12" i="6"/>
  <c r="C33" i="4"/>
  <c r="D48" i="5"/>
  <c r="C12" i="6"/>
  <c r="C19" i="6" s="1"/>
  <c r="C7" i="5" s="1"/>
  <c r="C6" i="6"/>
  <c r="G6" i="6"/>
  <c r="G5" i="5" s="1"/>
  <c r="D6" i="6"/>
  <c r="D5" i="5" s="1"/>
  <c r="F6" i="6"/>
  <c r="F5" i="5" s="1"/>
  <c r="E6" i="6"/>
  <c r="E5" i="5" s="1"/>
  <c r="G29" i="4"/>
  <c r="G67" i="4"/>
  <c r="C67" i="4"/>
  <c r="F55" i="4"/>
  <c r="F29" i="4"/>
  <c r="D55" i="4"/>
  <c r="D29" i="4"/>
  <c r="E55" i="4"/>
  <c r="E29" i="4"/>
  <c r="D13" i="2"/>
  <c r="F13" i="2"/>
  <c r="E23" i="1"/>
  <c r="F27" i="1"/>
  <c r="F23" i="1"/>
  <c r="E27" i="1"/>
  <c r="F29" i="1"/>
  <c r="F21" i="1"/>
  <c r="E24" i="1"/>
  <c r="E20" i="1"/>
  <c r="F30" i="1"/>
  <c r="F26" i="1"/>
  <c r="F22" i="1"/>
  <c r="E30" i="1"/>
  <c r="E26" i="1"/>
  <c r="E22" i="1"/>
  <c r="F24" i="1"/>
  <c r="F20" i="1"/>
  <c r="E29" i="1"/>
  <c r="E25" i="1"/>
  <c r="E21" i="1"/>
  <c r="C7" i="6"/>
  <c r="C6" i="5" s="1"/>
  <c r="C77" i="4"/>
  <c r="C15" i="5" s="1"/>
  <c r="G7" i="6"/>
  <c r="G6" i="5" s="1"/>
  <c r="G54" i="4"/>
  <c r="G58" i="4"/>
  <c r="G62" i="4"/>
  <c r="G66" i="4"/>
  <c r="G55" i="4"/>
  <c r="G59" i="4"/>
  <c r="G63" i="4"/>
  <c r="G52" i="4"/>
  <c r="G56" i="4"/>
  <c r="G60" i="4"/>
  <c r="G64" i="4"/>
  <c r="G53" i="4"/>
  <c r="G57" i="4"/>
  <c r="G61" i="4"/>
  <c r="F27" i="4"/>
  <c r="C66" i="4"/>
  <c r="C62" i="4"/>
  <c r="C58" i="4"/>
  <c r="C54" i="4"/>
  <c r="D63" i="4"/>
  <c r="D59" i="4"/>
  <c r="E64" i="4"/>
  <c r="E60" i="4"/>
  <c r="E56" i="4"/>
  <c r="E52" i="4"/>
  <c r="F65" i="4"/>
  <c r="F61" i="4"/>
  <c r="F57" i="4"/>
  <c r="F53" i="4"/>
  <c r="G65" i="4"/>
  <c r="D7" i="6"/>
  <c r="D6" i="5" s="1"/>
  <c r="C27" i="4"/>
  <c r="C30" i="4" s="1"/>
  <c r="G27" i="4"/>
  <c r="C65" i="4"/>
  <c r="C61" i="4"/>
  <c r="C57" i="4"/>
  <c r="C53" i="4"/>
  <c r="D66" i="4"/>
  <c r="D62" i="4"/>
  <c r="D58" i="4"/>
  <c r="D54" i="4"/>
  <c r="E63" i="4"/>
  <c r="E59" i="4"/>
  <c r="F64" i="4"/>
  <c r="F60" i="4"/>
  <c r="F56" i="4"/>
  <c r="F52" i="4"/>
  <c r="E7" i="6"/>
  <c r="E6" i="5" s="1"/>
  <c r="D27" i="4"/>
  <c r="E28" i="4"/>
  <c r="C64" i="4"/>
  <c r="C60" i="4"/>
  <c r="C56" i="4"/>
  <c r="C52" i="4"/>
  <c r="D65" i="4"/>
  <c r="D61" i="4"/>
  <c r="D57" i="4"/>
  <c r="D53" i="4"/>
  <c r="E66" i="4"/>
  <c r="E62" i="4"/>
  <c r="E58" i="4"/>
  <c r="E54" i="4"/>
  <c r="F63" i="4"/>
  <c r="F59" i="4"/>
  <c r="E13" i="2"/>
  <c r="G13" i="2"/>
  <c r="F7" i="6"/>
  <c r="F6" i="5" s="1"/>
  <c r="E27" i="4"/>
  <c r="C63" i="4"/>
  <c r="C59" i="4"/>
  <c r="C55" i="4"/>
  <c r="D64" i="4"/>
  <c r="D60" i="4"/>
  <c r="D56" i="4"/>
  <c r="D52" i="4"/>
  <c r="E65" i="4"/>
  <c r="E61" i="4"/>
  <c r="E57" i="4"/>
  <c r="E53" i="4"/>
  <c r="F66" i="4"/>
  <c r="F62" i="4"/>
  <c r="F58" i="4"/>
  <c r="F54" i="4"/>
  <c r="G10" i="6" l="1"/>
  <c r="G16" i="6" s="1"/>
  <c r="F10" i="2"/>
  <c r="F36" i="5" s="1"/>
  <c r="E10" i="2"/>
  <c r="E36" i="5" s="1"/>
  <c r="F65" i="1"/>
  <c r="F66" i="1"/>
  <c r="G65" i="1"/>
  <c r="E66" i="1"/>
  <c r="E67" i="1" s="1"/>
  <c r="E68" i="1" s="1"/>
  <c r="E69" i="1" s="1"/>
  <c r="G66" i="1"/>
  <c r="E30" i="4"/>
  <c r="F32" i="1"/>
  <c r="E32" i="1"/>
  <c r="G32" i="1"/>
  <c r="G19" i="6"/>
  <c r="G7" i="5" s="1"/>
  <c r="D30" i="4"/>
  <c r="C16" i="5"/>
  <c r="C9" i="6"/>
  <c r="C5" i="5"/>
  <c r="C8" i="5" s="1"/>
  <c r="C9" i="5" s="1"/>
  <c r="D9" i="6"/>
  <c r="E9" i="6"/>
  <c r="G9" i="6"/>
  <c r="D69" i="4"/>
  <c r="C69" i="4"/>
  <c r="F10" i="6"/>
  <c r="D10" i="6"/>
  <c r="E10" i="6"/>
  <c r="C10" i="2"/>
  <c r="C36" i="5" s="1"/>
  <c r="G69" i="4"/>
  <c r="F9" i="6"/>
  <c r="F47" i="5"/>
  <c r="F48" i="5" s="1"/>
  <c r="E69" i="4"/>
  <c r="F30" i="4"/>
  <c r="D73" i="4"/>
  <c r="C10" i="6"/>
  <c r="C13" i="6" s="1"/>
  <c r="F69" i="4"/>
  <c r="G30" i="4"/>
  <c r="G13" i="6" l="1"/>
  <c r="F67" i="1"/>
  <c r="F68" i="1" s="1"/>
  <c r="F69" i="1" s="1"/>
  <c r="F70" i="1" s="1"/>
  <c r="E70" i="1"/>
  <c r="G67" i="1"/>
  <c r="E11" i="2"/>
  <c r="D36" i="5"/>
  <c r="D11" i="2"/>
  <c r="G47" i="5"/>
  <c r="G48" i="5" s="1"/>
  <c r="G10" i="2"/>
  <c r="G11" i="2" s="1"/>
  <c r="E72" i="4"/>
  <c r="G17" i="6"/>
  <c r="G20" i="6" s="1"/>
  <c r="G11" i="6"/>
  <c r="C11" i="6"/>
  <c r="C16" i="6"/>
  <c r="C17" i="6" s="1"/>
  <c r="C20" i="6" s="1"/>
  <c r="D11" i="6"/>
  <c r="D16" i="6"/>
  <c r="D17" i="6" s="1"/>
  <c r="E16" i="6"/>
  <c r="E17" i="6" s="1"/>
  <c r="E11" i="6"/>
  <c r="F11" i="6"/>
  <c r="F16" i="6"/>
  <c r="F17" i="6" s="1"/>
  <c r="D72" i="4"/>
  <c r="D74" i="4" s="1"/>
  <c r="D75" i="4" s="1"/>
  <c r="F26" i="5" l="1"/>
  <c r="E73" i="4"/>
  <c r="E74" i="4" s="1"/>
  <c r="E75" i="4" s="1"/>
  <c r="F11" i="2"/>
  <c r="D76" i="4"/>
  <c r="D77" i="4" s="1"/>
  <c r="D37" i="5"/>
  <c r="F73" i="4"/>
  <c r="G36" i="5"/>
  <c r="G68" i="1" l="1"/>
  <c r="G72" i="4"/>
  <c r="F72" i="4"/>
  <c r="F74" i="4" s="1"/>
  <c r="F75" i="4" s="1"/>
  <c r="D15" i="5"/>
  <c r="D78" i="4"/>
  <c r="C10" i="5"/>
  <c r="C12" i="5"/>
  <c r="C34" i="5" s="1"/>
  <c r="C11" i="5"/>
  <c r="C13" i="5"/>
  <c r="C35" i="5" s="1"/>
  <c r="E26" i="5"/>
  <c r="E37" i="5"/>
  <c r="E76" i="4"/>
  <c r="E77" i="4" s="1"/>
  <c r="G73" i="4" l="1"/>
  <c r="G74" i="4" s="1"/>
  <c r="G75" i="4" s="1"/>
  <c r="C33" i="5"/>
  <c r="E78" i="4"/>
  <c r="E15" i="5"/>
  <c r="F76" i="4"/>
  <c r="F77" i="4" s="1"/>
  <c r="F37" i="5"/>
  <c r="G37" i="5" l="1"/>
  <c r="G76" i="4"/>
  <c r="G77" i="4" s="1"/>
  <c r="G69" i="1"/>
  <c r="G70" i="1" s="1"/>
  <c r="F15" i="5"/>
  <c r="F78" i="4"/>
  <c r="G78" i="4" l="1"/>
  <c r="G15" i="5"/>
  <c r="G26" i="5" l="1"/>
  <c r="G8" i="5" l="1"/>
  <c r="G13" i="5" s="1"/>
  <c r="G35" i="5" s="1"/>
  <c r="G9" i="5" l="1"/>
  <c r="G10" i="5" s="1"/>
  <c r="G11" i="5"/>
  <c r="G12" i="5"/>
  <c r="G34" i="5" s="1"/>
  <c r="G33" i="5" l="1"/>
  <c r="F32" i="8" l="1"/>
  <c r="F12" i="6"/>
  <c r="F13" i="6" s="1"/>
  <c r="G33" i="8"/>
  <c r="F19" i="6" l="1"/>
  <c r="F20" i="6" s="1"/>
  <c r="F7" i="5" l="1"/>
  <c r="F8" i="5" s="1"/>
  <c r="F11" i="5" l="1"/>
  <c r="F12" i="5"/>
  <c r="F34" i="5" s="1"/>
  <c r="F9" i="5"/>
  <c r="F10" i="5" s="1"/>
  <c r="F13" i="5"/>
  <c r="F35" i="5" s="1"/>
  <c r="F33" i="5" l="1"/>
  <c r="F31" i="8" l="1"/>
  <c r="F33" i="8" s="1"/>
  <c r="D12" i="6"/>
  <c r="D13" i="6" s="1"/>
  <c r="E32" i="8"/>
  <c r="E12" i="6"/>
  <c r="E13" i="6" s="1"/>
  <c r="E31" i="8"/>
  <c r="D32" i="8"/>
  <c r="D33" i="8" s="1"/>
  <c r="D34" i="8" s="1"/>
  <c r="D36" i="8" s="1"/>
  <c r="E19" i="6" l="1"/>
  <c r="E7" i="5" s="1"/>
  <c r="E8" i="5" s="1"/>
  <c r="E11" i="5" s="1"/>
  <c r="E33" i="5" s="1"/>
  <c r="E33" i="8"/>
  <c r="E34" i="8" s="1"/>
  <c r="E36" i="8" s="1"/>
  <c r="D38" i="5"/>
  <c r="D39" i="5" s="1"/>
  <c r="D37" i="8"/>
  <c r="D16" i="5" s="1"/>
  <c r="D17" i="5" s="1"/>
  <c r="D19" i="6"/>
  <c r="E20" i="6" l="1"/>
  <c r="D20" i="6"/>
  <c r="D7" i="5"/>
  <c r="E13" i="5"/>
  <c r="E35" i="5" s="1"/>
  <c r="E38" i="5"/>
  <c r="F34" i="8"/>
  <c r="E37" i="8"/>
  <c r="E16" i="5" s="1"/>
  <c r="F36" i="8" l="1"/>
  <c r="F37" i="8" s="1"/>
  <c r="F16" i="5" s="1"/>
  <c r="F18" i="5" s="1"/>
  <c r="G34" i="8"/>
  <c r="G36" i="8" s="1"/>
  <c r="F38" i="5"/>
  <c r="F40" i="5" s="1"/>
  <c r="D8" i="5"/>
  <c r="D13" i="5" s="1"/>
  <c r="D35" i="5" s="1"/>
  <c r="E12" i="5"/>
  <c r="E34" i="5" s="1"/>
  <c r="E9" i="5"/>
  <c r="E10" i="5" s="1"/>
  <c r="E18" i="5" l="1"/>
  <c r="F17" i="5"/>
  <c r="F19" i="5" s="1"/>
  <c r="D11" i="5"/>
  <c r="D12" i="5"/>
  <c r="D34" i="5" s="1"/>
  <c r="D9" i="5"/>
  <c r="D10" i="5" s="1"/>
  <c r="G38" i="5"/>
  <c r="G37" i="8"/>
  <c r="G16" i="5" s="1"/>
  <c r="G39" i="5" l="1"/>
  <c r="G40" i="5"/>
  <c r="G17" i="5"/>
  <c r="G18" i="5"/>
  <c r="D33" i="5"/>
  <c r="D40" i="5" s="1"/>
  <c r="D41" i="5" s="1"/>
  <c r="D42" i="5" s="1"/>
  <c r="E17" i="5"/>
  <c r="E19" i="5" s="1"/>
  <c r="D18" i="5"/>
  <c r="D19" i="5" s="1"/>
  <c r="D20" i="5" s="1"/>
  <c r="D21" i="5" s="1"/>
  <c r="D25" i="5" s="1"/>
  <c r="D27" i="5" s="1"/>
  <c r="D28" i="5" s="1"/>
  <c r="E40" i="5"/>
  <c r="F39" i="5"/>
  <c r="F41" i="5" s="1"/>
  <c r="D43" i="5" l="1"/>
  <c r="D44" i="5" s="1"/>
  <c r="E39" i="5"/>
  <c r="E41" i="5" s="1"/>
  <c r="G19" i="5"/>
  <c r="G41" i="5"/>
  <c r="E20" i="5"/>
  <c r="E21" i="5" s="1"/>
  <c r="E42" i="5" l="1"/>
  <c r="E43" i="5" s="1"/>
  <c r="F20" i="5"/>
  <c r="F21" i="5" s="1"/>
  <c r="E25" i="5"/>
  <c r="E27" i="5" s="1"/>
  <c r="E28" i="5" s="1"/>
  <c r="F42" i="5" l="1"/>
  <c r="F43" i="5" s="1"/>
  <c r="F44" i="5" s="1"/>
  <c r="E44" i="5"/>
  <c r="E50" i="5" s="1"/>
  <c r="F25" i="5"/>
  <c r="F27" i="5" s="1"/>
  <c r="F28" i="5" s="1"/>
  <c r="G20" i="5"/>
  <c r="G21" i="5" s="1"/>
  <c r="D50" i="5"/>
  <c r="G42" i="5" l="1"/>
  <c r="G43" i="5" s="1"/>
  <c r="G44" i="5" s="1"/>
  <c r="G25" i="5"/>
  <c r="G27" i="5" s="1"/>
  <c r="G28" i="5" s="1"/>
  <c r="F50" i="5" l="1"/>
  <c r="G50" i="5" l="1"/>
  <c r="G51" i="5"/>
  <c r="C64" i="5"/>
  <c r="E49" i="5"/>
  <c r="F49" i="5"/>
  <c r="D49" i="5"/>
  <c r="G49" i="5"/>
  <c r="E51" i="5" l="1"/>
  <c r="F51" i="5"/>
  <c r="D51" i="5"/>
  <c r="C53" i="5"/>
  <c r="C66" i="5"/>
</calcChain>
</file>

<file path=xl/sharedStrings.xml><?xml version="1.0" encoding="utf-8"?>
<sst xmlns="http://schemas.openxmlformats.org/spreadsheetml/2006/main" count="324" uniqueCount="182">
  <si>
    <t>Total</t>
  </si>
  <si>
    <t>EBITDA</t>
  </si>
  <si>
    <t>EBIT</t>
  </si>
  <si>
    <t>X-Factor</t>
  </si>
  <si>
    <t>Total Opex</t>
  </si>
  <si>
    <t xml:space="preserve">Materials </t>
  </si>
  <si>
    <t>Cost of Capital</t>
  </si>
  <si>
    <t xml:space="preserve"> X&amp;Z Factor </t>
  </si>
  <si>
    <t>Trimiteri de corespondeta interne recomandate</t>
  </si>
  <si>
    <t>Trimiteri de corespondenta interne</t>
  </si>
  <si>
    <t>Trimiteri de corespondenta externa</t>
  </si>
  <si>
    <t>Trimiteri de corespondeta externe recomandate</t>
  </si>
  <si>
    <t>colete nationale</t>
  </si>
  <si>
    <t>colete internationale</t>
  </si>
  <si>
    <t>Corespondeta AR</t>
  </si>
  <si>
    <t>Alte activitati</t>
  </si>
  <si>
    <t>Venituri totale</t>
  </si>
  <si>
    <t>Cecograme</t>
  </si>
  <si>
    <t>Trimiteri de corespondență externă cu valoare declarată</t>
  </si>
  <si>
    <t>Trimiteri de corespondeță internă cu valoare declarată</t>
  </si>
  <si>
    <t>Cantitati</t>
  </si>
  <si>
    <t>TOTAL</t>
  </si>
  <si>
    <t>Număr angajați</t>
  </si>
  <si>
    <t>Cheltuieli din exploatare</t>
  </si>
  <si>
    <t>Amortizarea și deprecierea imobilizărilor</t>
  </si>
  <si>
    <t>Amortizare</t>
  </si>
  <si>
    <t>Personal</t>
  </si>
  <si>
    <t>Imobilizări corporale</t>
  </si>
  <si>
    <t>Imobilizări necorporale</t>
  </si>
  <si>
    <t>Active curente</t>
  </si>
  <si>
    <t>Total active curente</t>
  </si>
  <si>
    <t>Chirii</t>
  </si>
  <si>
    <t>Utilități</t>
  </si>
  <si>
    <t>Mărfuri</t>
  </si>
  <si>
    <t>Transport</t>
  </si>
  <si>
    <t>Administrații straine</t>
  </si>
  <si>
    <t>Comisioane</t>
  </si>
  <si>
    <t>Consumabile</t>
  </si>
  <si>
    <t>Impozite și taxe</t>
  </si>
  <si>
    <t>Întretinere</t>
  </si>
  <si>
    <t>Obiecte de inventar</t>
  </si>
  <si>
    <t>Alte servicii terți</t>
  </si>
  <si>
    <t>Alte cheltuieli operaționale</t>
  </si>
  <si>
    <t>Prorata TVA</t>
  </si>
  <si>
    <t>Materii prime</t>
  </si>
  <si>
    <t>Diurna și deplasări</t>
  </si>
  <si>
    <t>Echipament de lucru</t>
  </si>
  <si>
    <t>Comunicații</t>
  </si>
  <si>
    <t xml:space="preserve"> Stocuri</t>
  </si>
  <si>
    <t xml:space="preserve"> Creanțe</t>
  </si>
  <si>
    <t xml:space="preserve"> Numerar și echivalente de numerar</t>
  </si>
  <si>
    <t>Datorii curente</t>
  </si>
  <si>
    <t>Venituri inregistrate in avans (pana la un an)</t>
  </si>
  <si>
    <t>Subventii pentru investitii ( pana la un an)</t>
  </si>
  <si>
    <t>Provizioane pentru riscuri și cheltuieli</t>
  </si>
  <si>
    <t>Active imobilizate</t>
  </si>
  <si>
    <t>Total active imobilizate</t>
  </si>
  <si>
    <t>Capital angajat</t>
  </si>
  <si>
    <t>Cheltuieli salariale</t>
  </si>
  <si>
    <t>Venituri</t>
  </si>
  <si>
    <t>Costuri salariale</t>
  </si>
  <si>
    <t xml:space="preserve">Alte costuri operaționale </t>
  </si>
  <si>
    <t>Costul capitalului realizat</t>
  </si>
  <si>
    <t>EBIT reglementat</t>
  </si>
  <si>
    <t>Necesar/Surplus EBIT</t>
  </si>
  <si>
    <t>Energie electrica, gaze si incalzire centrala</t>
  </si>
  <si>
    <t>Servicii</t>
  </si>
  <si>
    <t>TVA reglementat (maxim)</t>
  </si>
  <si>
    <t>Posta si telecomunicatii</t>
  </si>
  <si>
    <t>IPC</t>
  </si>
  <si>
    <t>Transport rutier</t>
  </si>
  <si>
    <t>Total cheltuieli</t>
  </si>
  <si>
    <t>Alte active curente</t>
  </si>
  <si>
    <t>Forța de muncă și prețul forței de muncă</t>
  </si>
  <si>
    <t>Indicele prețului forței de muncă</t>
  </si>
  <si>
    <t>Variația prețului muncii</t>
  </si>
  <si>
    <t>Indice forță de muncă (număr angajați)</t>
  </si>
  <si>
    <t>Indicele de creștere a forței de muncă</t>
  </si>
  <si>
    <t>Indicele de preț pentru materiale</t>
  </si>
  <si>
    <t>Date de intrare</t>
  </si>
  <si>
    <t xml:space="preserve">Indicele Laspeyres  </t>
  </si>
  <si>
    <t>Indicele Paasche</t>
  </si>
  <si>
    <t xml:space="preserve">Indicele Fischer </t>
  </si>
  <si>
    <t>Cantitatea de materiale</t>
  </si>
  <si>
    <t>Rata de creștere a consumului de materiale</t>
  </si>
  <si>
    <t>TOTAL Cheltuieli operaționale</t>
  </si>
  <si>
    <t>Indicele prețurilor</t>
  </si>
  <si>
    <t>Costul capitalului reglementat</t>
  </si>
  <si>
    <t>Indice costul capitalului</t>
  </si>
  <si>
    <t>Calculare X-Factor</t>
  </si>
  <si>
    <t>Pondere costuri salariale</t>
  </si>
  <si>
    <t>Pondere costuri materiale</t>
  </si>
  <si>
    <t>Pondere costul capitalului</t>
  </si>
  <si>
    <t>Indice materiale</t>
  </si>
  <si>
    <t>Indice Laspeyres factori de producție</t>
  </si>
  <si>
    <t>Indice Paasche factori de producție</t>
  </si>
  <si>
    <t>Indice Fischer factori de producție</t>
  </si>
  <si>
    <t>Rata de creștere a producției</t>
  </si>
  <si>
    <t>Rata de creștere a factorilor de producție</t>
  </si>
  <si>
    <t>Rata de creștere a producțivității CNPR</t>
  </si>
  <si>
    <t>Rata de creștere a productivității la nivel național</t>
  </si>
  <si>
    <t>Indice industria bunurilor de capital</t>
  </si>
  <si>
    <t>industria bunurilor de capital</t>
  </si>
  <si>
    <t>IEȘIRI</t>
  </si>
  <si>
    <t>Rata de creștere a capitalului</t>
  </si>
  <si>
    <t>Cantitate capital (active imobilizate)</t>
  </si>
  <si>
    <t>Total trimiteri export</t>
  </si>
  <si>
    <t>cost mediu pe trimitere cu administrațiile straine</t>
  </si>
  <si>
    <t>Ponderea in venituri</t>
  </si>
  <si>
    <t>calculat pe baza datelor CNPR</t>
  </si>
  <si>
    <t>Categorii de cheltuieli</t>
  </si>
  <si>
    <t>Indicele forței de muncă</t>
  </si>
  <si>
    <t>Costul mediu pe angajat</t>
  </si>
  <si>
    <t>Indice de creștere a consumului de materiale</t>
  </si>
  <si>
    <t>Venituri anuale (RON)</t>
  </si>
  <si>
    <t>Evoluția numărului de trimiteri</t>
  </si>
  <si>
    <t>Indicele Laspeyres</t>
  </si>
  <si>
    <t>Indice Fischer</t>
  </si>
  <si>
    <t>Indice Fischer cu bază fixă</t>
  </si>
  <si>
    <t>Indicii prețurilor</t>
  </si>
  <si>
    <t>Indicele prețurilor de consum</t>
  </si>
  <si>
    <t>Indicele prețurilor producției industriale</t>
  </si>
  <si>
    <t>Industria bunurilor de capital</t>
  </si>
  <si>
    <t xml:space="preserve">Indicele de preț utilizat </t>
  </si>
  <si>
    <t>Indicele Fischer cu bază fixă</t>
  </si>
  <si>
    <t>Rata de creștere a activelor imobilizate</t>
  </si>
  <si>
    <t>Indice Laspeyres</t>
  </si>
  <si>
    <t>Indice Paasche</t>
  </si>
  <si>
    <t>Indice Fischer Capital Input Goods Price Index</t>
  </si>
  <si>
    <t>Analiză performanță</t>
  </si>
  <si>
    <t>Rezultate financiare</t>
  </si>
  <si>
    <t>Excedent/necesar venituri</t>
  </si>
  <si>
    <t>Indice Fischer factori de producție cu bază fixă</t>
  </si>
  <si>
    <t>Rata de creștere a productivității</t>
  </si>
  <si>
    <t>Calculare Z-Factor</t>
  </si>
  <si>
    <t xml:space="preserve">Indice prețului forței de muncă </t>
  </si>
  <si>
    <t>Indice costurilor materiale</t>
  </si>
  <si>
    <t>Indice capital</t>
  </si>
  <si>
    <t xml:space="preserve">Indice Paasche </t>
  </si>
  <si>
    <t xml:space="preserve">Indice Fischer </t>
  </si>
  <si>
    <t>Rata de creștere a prețurilor factorilor de producție</t>
  </si>
  <si>
    <t xml:space="preserve">Z-Factor </t>
  </si>
  <si>
    <t>Rezultate</t>
  </si>
  <si>
    <t>Creștere IPC</t>
  </si>
  <si>
    <t>IPC anual - (X+Z)</t>
  </si>
  <si>
    <t>IPC curent - (medie X + medie Z)</t>
  </si>
  <si>
    <t>Venituri totale coș 1(SFS 2019)</t>
  </si>
  <si>
    <t>Nevoia de creștere a veniturilor pentru acoperirea costurilor</t>
  </si>
  <si>
    <t>Perioada de recuperare</t>
  </si>
  <si>
    <t>IPC - X - Z</t>
  </si>
  <si>
    <t>Rata de recuperare (anuală)</t>
  </si>
  <si>
    <t>IPC - (X+Z) +Rata de recuperare</t>
  </si>
  <si>
    <t>IPC anual - medie X</t>
  </si>
  <si>
    <t>Ponderea în total cheltuieli, exclusiv salarii si amortizare</t>
  </si>
  <si>
    <t>Coș unic - toate serviciile din sfera serviciului universal prestate de CNPR</t>
  </si>
  <si>
    <t>Total cheltuieli operaționale, exclusiv cheltuieli cu amortizarea și deprecierea imobilizărilor</t>
  </si>
  <si>
    <t>Total cheltuieli materiale</t>
  </si>
  <si>
    <t>Alte cheltuieli operationale</t>
  </si>
  <si>
    <t>Investiții imobiliare și alte active imobilizate</t>
  </si>
  <si>
    <t>Indice costul capitalului reglementat</t>
  </si>
  <si>
    <t>Total cheltuieli cu forța de muncă</t>
  </si>
  <si>
    <t>Amortizare + WACC reglementat</t>
  </si>
  <si>
    <t>Datorii (pe termen scurt și lung)</t>
  </si>
  <si>
    <t>Costuri totale coș 1(Separated Accounts 2019)</t>
  </si>
  <si>
    <t>Costul capitalului (actualizat cu 8,44%)</t>
  </si>
  <si>
    <t>Rata de acoperire a costurilor</t>
  </si>
  <si>
    <t>va fi determinata de CNPR prin actualizarea IPC           (X si Z raman constante)</t>
  </si>
  <si>
    <t>Formula de baza aplicabila in 2022 [IPC- (X+Z)]</t>
  </si>
  <si>
    <t>Formula de baza aplicabila in 2023 si 2024 [IPC- (X+Z)]</t>
  </si>
  <si>
    <t>Pachete mici internationale</t>
  </si>
  <si>
    <t>Evoluția numărului de trimiteri (indicator agregat)</t>
  </si>
  <si>
    <t>Medie 2020-2024</t>
  </si>
  <si>
    <t>Diurna reglementata (HG 714/2018; HG 60/2015; HG 1860/2006)</t>
  </si>
  <si>
    <t>Indicii preturilor de consum pe principalele marfuri si servicii</t>
  </si>
  <si>
    <t xml:space="preserve">Toatal datorii </t>
  </si>
  <si>
    <t>Trimiteri de corespondenta interne (inclusiv pachete mici)</t>
  </si>
  <si>
    <t>Trimiteri de corespondeta interne recomandate (inclsuiv pachete mici)</t>
  </si>
  <si>
    <t>Trimiteri de corespondeță internă cu valoare declarată (inclusiv pachete mici)</t>
  </si>
  <si>
    <t>%</t>
  </si>
  <si>
    <t>crestere aprox. 2026</t>
  </si>
  <si>
    <t>Indici cu bază fixă (2020 -100%)</t>
  </si>
  <si>
    <t>!!!  Prezentul fișer de calcul a fost populat cu date fictive pentru asigurarea confidențialității datelor financiare ale CNPR !!!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</si>
</sst>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3" formatCode="_(* #,##0.00_);_(* \(#,##0.00\);_(* &quot;-&quot;??_);_(@_)"/>
    <numFmt numFmtId="164" formatCode="_-* #,##0\ _€_-;\-* #,##0\ _€_-;_-* &quot;-&quot;\ _€_-;_-@_-"/>
    <numFmt numFmtId="165" formatCode="_-* #,##0.00\ _€_-;\-* #,##0.00\ _€_-;_-* &quot;-&quot;??\ _€_-;_-@_-"/>
    <numFmt numFmtId="166" formatCode="_-* #,##0\ _€_-;\-* #,##0\ _€_-;_-* &quot;-&quot;??\ _€_-;_-@_-"/>
    <numFmt numFmtId="167" formatCode="#,##0.0"/>
    <numFmt numFmtId="168" formatCode="_-* #,##0.0000\ _€_-;\-* #,##0.0000\ _€_-;_-* &quot;-&quot;??\ _€_-;_-@_-"/>
    <numFmt numFmtId="169" formatCode="_-* #,##0.0000\ _€_-;\-* #,##0.0000\ _€_-;_-* &quot;-&quot;????\ _€_-;_-@_-"/>
    <numFmt numFmtId="170" formatCode="_-* #,##0\ _€_-;\-* #,##0\ _€_-;_-* &quot;-&quot;????\ _€_-;_-@_-"/>
    <numFmt numFmtId="171" formatCode="_-* #,##0.0\ _l_e_i_-;\-* #,##0.0\ _l_e_i_-;_-* &quot;-&quot;?\ _l_e_i_-;_-@_-"/>
    <numFmt numFmtId="172" formatCode="_-* #,##0.0000\ _l_e_i_-;\-* #,##0.0000\ _l_e_i_-;_-* &quot;-&quot;?\ _l_e_i_-;_-@_-"/>
    <numFmt numFmtId="173" formatCode="_-* #,##0.000\ _€_-;\-* #,##0.000\ _€_-;_-* &quot;-&quot;\ _€_-;_-@_-"/>
    <numFmt numFmtId="174" formatCode="0.0000"/>
    <numFmt numFmtId="175" formatCode="_(* #,##0_);_(* \(#,##0\);_(* &quot;-&quot;??_);_(@_)"/>
  </numFmts>
  <fonts count="79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4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color indexed="9"/>
      <name val="Arial"/>
      <family val="2"/>
    </font>
    <font>
      <sz val="9"/>
      <name val="Arial"/>
      <family val="2"/>
    </font>
    <font>
      <sz val="8"/>
      <color indexed="55"/>
      <name val="Arial"/>
      <family val="2"/>
    </font>
    <font>
      <b/>
      <sz val="8"/>
      <name val="Arial"/>
      <family val="2"/>
    </font>
    <font>
      <b/>
      <sz val="9"/>
      <color indexed="9"/>
      <name val="Arial"/>
      <family val="2"/>
    </font>
    <font>
      <b/>
      <sz val="8"/>
      <color indexed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b/>
      <sz val="14"/>
      <color indexed="41"/>
      <name val="Arial"/>
      <family val="2"/>
    </font>
    <font>
      <b/>
      <sz val="14"/>
      <color indexed="41"/>
      <name val="Arial"/>
      <family val="2"/>
    </font>
    <font>
      <sz val="10"/>
      <name val="Arial"/>
      <family val="2"/>
      <charset val="238"/>
    </font>
    <font>
      <sz val="8"/>
      <color rgb="FFFF0000"/>
      <name val="Arial"/>
      <family val="2"/>
    </font>
    <font>
      <b/>
      <sz val="10"/>
      <color indexed="41"/>
      <name val="Arial"/>
      <family val="2"/>
    </font>
    <font>
      <sz val="8"/>
      <name val="Arial"/>
      <family val="2"/>
      <charset val="238"/>
    </font>
    <font>
      <sz val="1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8"/>
      <color theme="0"/>
      <name val="Arial"/>
      <family val="2"/>
    </font>
    <font>
      <b/>
      <sz val="11"/>
      <color indexed="9"/>
      <name val="Arial"/>
      <family val="2"/>
    </font>
    <font>
      <b/>
      <sz val="11"/>
      <name val="Arial"/>
      <family val="2"/>
    </font>
    <font>
      <b/>
      <sz val="9"/>
      <color theme="0"/>
      <name val="Arial"/>
      <family val="2"/>
    </font>
    <font>
      <b/>
      <sz val="14"/>
      <color theme="0"/>
      <name val="Arial"/>
      <family val="2"/>
    </font>
    <font>
      <strike/>
      <sz val="8"/>
      <name val="Arial"/>
      <family val="2"/>
    </font>
    <font>
      <sz val="8"/>
      <color indexed="41"/>
      <name val="Arial"/>
      <family val="2"/>
    </font>
    <font>
      <sz val="8"/>
      <color theme="0"/>
      <name val="Arial"/>
      <family val="2"/>
      <charset val="238"/>
    </font>
    <font>
      <sz val="11"/>
      <color indexed="8"/>
      <name val="Calibri"/>
      <family val="2"/>
      <charset val="238"/>
    </font>
    <font>
      <sz val="8"/>
      <color rgb="FFFFFF00"/>
      <name val="Arial"/>
      <family val="2"/>
    </font>
    <font>
      <b/>
      <sz val="12"/>
      <color indexed="41"/>
      <name val="Arial"/>
      <family val="2"/>
    </font>
    <font>
      <b/>
      <sz val="8"/>
      <color rgb="FFFFFF00"/>
      <name val="Arial"/>
      <family val="2"/>
    </font>
    <font>
      <sz val="9"/>
      <color rgb="FFFFFF00"/>
      <name val="Arial"/>
      <family val="2"/>
    </font>
    <font>
      <sz val="10"/>
      <color rgb="FFFFFF00"/>
      <name val="Arial"/>
      <family val="2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u/>
      <sz val="10"/>
      <color indexed="12"/>
      <name val="Arial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63"/>
      <name val="Calibri"/>
      <family val="2"/>
      <charset val="238"/>
    </font>
    <font>
      <sz val="12"/>
      <name val="TimesRomanR"/>
    </font>
    <font>
      <b/>
      <sz val="18"/>
      <color indexed="56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u/>
      <sz val="10"/>
      <color indexed="12"/>
      <name val="Arial"/>
      <family val="2"/>
    </font>
    <font>
      <sz val="8"/>
      <color indexed="8"/>
      <name val="Arial"/>
      <family val="2"/>
    </font>
    <font>
      <sz val="10"/>
      <color indexed="8"/>
      <name val="Arial"/>
      <family val="2"/>
    </font>
    <font>
      <sz val="8"/>
      <color indexed="9"/>
      <name val="Arial"/>
      <family val="2"/>
    </font>
    <font>
      <sz val="8"/>
      <color indexed="20"/>
      <name val="Arial"/>
      <family val="2"/>
    </font>
    <font>
      <b/>
      <sz val="8"/>
      <color indexed="52"/>
      <name val="Arial"/>
      <family val="2"/>
    </font>
    <font>
      <i/>
      <sz val="8"/>
      <color indexed="23"/>
      <name val="Arial"/>
      <family val="2"/>
    </font>
    <font>
      <sz val="8"/>
      <color indexed="17"/>
      <name val="Arial"/>
      <family val="2"/>
    </font>
    <font>
      <b/>
      <sz val="15"/>
      <color indexed="62"/>
      <name val="Arial"/>
      <family val="2"/>
    </font>
    <font>
      <b/>
      <sz val="13"/>
      <color indexed="62"/>
      <name val="Arial"/>
      <family val="2"/>
    </font>
    <font>
      <b/>
      <sz val="11"/>
      <color indexed="62"/>
      <name val="Arial"/>
      <family val="2"/>
    </font>
    <font>
      <sz val="8"/>
      <color indexed="62"/>
      <name val="Arial"/>
      <family val="2"/>
    </font>
    <font>
      <sz val="8"/>
      <color indexed="52"/>
      <name val="Arial"/>
      <family val="2"/>
    </font>
    <font>
      <sz val="8"/>
      <color indexed="60"/>
      <name val="Arial"/>
      <family val="2"/>
    </font>
    <font>
      <b/>
      <sz val="8"/>
      <color indexed="63"/>
      <name val="Arial"/>
      <family val="2"/>
    </font>
    <font>
      <b/>
      <sz val="18"/>
      <color indexed="62"/>
      <name val="Cambria"/>
      <family val="2"/>
    </font>
    <font>
      <b/>
      <sz val="8"/>
      <color indexed="8"/>
      <name val="Arial"/>
      <family val="2"/>
    </font>
    <font>
      <sz val="8"/>
      <color indexed="10"/>
      <name val="Arial"/>
      <family val="2"/>
    </font>
    <font>
      <sz val="8"/>
      <color theme="2" tint="-0.249977111117893"/>
      <name val="Arial"/>
      <family val="2"/>
    </font>
    <font>
      <b/>
      <sz val="11"/>
      <color rgb="FFFFFF00"/>
      <name val="Arial"/>
      <family val="2"/>
    </font>
  </fonts>
  <fills count="4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54"/>
      </patternFill>
    </fill>
    <fill>
      <patternFill patternType="solid">
        <fgColor theme="0" tint="-0.249977111117893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54"/>
      </bottom>
      <diagonal/>
    </border>
  </borders>
  <cellStyleXfs count="792">
    <xf numFmtId="0" fontId="0" fillId="0" borderId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5" fillId="0" borderId="0">
      <alignment vertical="top"/>
    </xf>
    <xf numFmtId="0" fontId="20" fillId="0" borderId="0"/>
    <xf numFmtId="0" fontId="20" fillId="0" borderId="0"/>
    <xf numFmtId="0" fontId="20" fillId="0" borderId="0"/>
    <xf numFmtId="165" fontId="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0" fillId="0" borderId="0"/>
    <xf numFmtId="0" fontId="35" fillId="0" borderId="0"/>
    <xf numFmtId="0" fontId="3" fillId="0" borderId="0"/>
    <xf numFmtId="0" fontId="35" fillId="21" borderId="0" applyNumberFormat="0" applyBorder="0" applyAlignment="0" applyProtection="0"/>
    <xf numFmtId="0" fontId="35" fillId="22" borderId="0" applyNumberFormat="0" applyBorder="0" applyAlignment="0" applyProtection="0"/>
    <xf numFmtId="0" fontId="35" fillId="23" borderId="0" applyNumberFormat="0" applyBorder="0" applyAlignment="0" applyProtection="0"/>
    <xf numFmtId="0" fontId="35" fillId="24" borderId="0" applyNumberFormat="0" applyBorder="0" applyAlignment="0" applyProtection="0"/>
    <xf numFmtId="0" fontId="35" fillId="25" borderId="0" applyNumberFormat="0" applyBorder="0" applyAlignment="0" applyProtection="0"/>
    <xf numFmtId="0" fontId="35" fillId="26" borderId="0" applyNumberFormat="0" applyBorder="0" applyAlignment="0" applyProtection="0"/>
    <xf numFmtId="0" fontId="35" fillId="27" borderId="0" applyNumberFormat="0" applyBorder="0" applyAlignment="0" applyProtection="0"/>
    <xf numFmtId="0" fontId="35" fillId="28" borderId="0" applyNumberFormat="0" applyBorder="0" applyAlignment="0" applyProtection="0"/>
    <xf numFmtId="0" fontId="35" fillId="29" borderId="0" applyNumberFormat="0" applyBorder="0" applyAlignment="0" applyProtection="0"/>
    <xf numFmtId="0" fontId="35" fillId="24" borderId="0" applyNumberFormat="0" applyBorder="0" applyAlignment="0" applyProtection="0"/>
    <xf numFmtId="0" fontId="35" fillId="27" borderId="0" applyNumberFormat="0" applyBorder="0" applyAlignment="0" applyProtection="0"/>
    <xf numFmtId="0" fontId="35" fillId="30" borderId="0" applyNumberFormat="0" applyBorder="0" applyAlignment="0" applyProtection="0"/>
    <xf numFmtId="0" fontId="41" fillId="31" borderId="0" applyNumberFormat="0" applyBorder="0" applyAlignment="0" applyProtection="0"/>
    <xf numFmtId="0" fontId="41" fillId="28" borderId="0" applyNumberFormat="0" applyBorder="0" applyAlignment="0" applyProtection="0"/>
    <xf numFmtId="0" fontId="41" fillId="29" borderId="0" applyNumberFormat="0" applyBorder="0" applyAlignment="0" applyProtection="0"/>
    <xf numFmtId="0" fontId="41" fillId="32" borderId="0" applyNumberFormat="0" applyBorder="0" applyAlignment="0" applyProtection="0"/>
    <xf numFmtId="0" fontId="41" fillId="33" borderId="0" applyNumberFormat="0" applyBorder="0" applyAlignment="0" applyProtection="0"/>
    <xf numFmtId="0" fontId="41" fillId="34" borderId="0" applyNumberFormat="0" applyBorder="0" applyAlignment="0" applyProtection="0"/>
    <xf numFmtId="0" fontId="41" fillId="35" borderId="0" applyNumberFormat="0" applyBorder="0" applyAlignment="0" applyProtection="0"/>
    <xf numFmtId="0" fontId="41" fillId="36" borderId="0" applyNumberFormat="0" applyBorder="0" applyAlignment="0" applyProtection="0"/>
    <xf numFmtId="0" fontId="41" fillId="37" borderId="0" applyNumberFormat="0" applyBorder="0" applyAlignment="0" applyProtection="0"/>
    <xf numFmtId="0" fontId="41" fillId="32" borderId="0" applyNumberFormat="0" applyBorder="0" applyAlignment="0" applyProtection="0"/>
    <xf numFmtId="0" fontId="41" fillId="33" borderId="0" applyNumberFormat="0" applyBorder="0" applyAlignment="0" applyProtection="0"/>
    <xf numFmtId="0" fontId="41" fillId="38" borderId="0" applyNumberFormat="0" applyBorder="0" applyAlignment="0" applyProtection="0"/>
    <xf numFmtId="0" fontId="42" fillId="22" borderId="0" applyNumberFormat="0" applyBorder="0" applyAlignment="0" applyProtection="0"/>
    <xf numFmtId="0" fontId="43" fillId="39" borderId="34" applyNumberFormat="0" applyAlignment="0" applyProtection="0"/>
    <xf numFmtId="0" fontId="44" fillId="40" borderId="35" applyNumberFormat="0" applyAlignment="0" applyProtection="0"/>
    <xf numFmtId="0" fontId="45" fillId="0" borderId="0" applyNumberFormat="0" applyFill="0" applyBorder="0" applyAlignment="0" applyProtection="0"/>
    <xf numFmtId="0" fontId="46" fillId="23" borderId="0" applyNumberFormat="0" applyBorder="0" applyAlignment="0" applyProtection="0"/>
    <xf numFmtId="0" fontId="47" fillId="0" borderId="36" applyNumberFormat="0" applyFill="0" applyAlignment="0" applyProtection="0"/>
    <xf numFmtId="0" fontId="48" fillId="0" borderId="37" applyNumberFormat="0" applyFill="0" applyAlignment="0" applyProtection="0"/>
    <xf numFmtId="0" fontId="49" fillId="0" borderId="38" applyNumberFormat="0" applyFill="0" applyAlignment="0" applyProtection="0"/>
    <xf numFmtId="0" fontId="49" fillId="0" borderId="0" applyNumberFormat="0" applyFill="0" applyBorder="0" applyAlignment="0" applyProtection="0"/>
    <xf numFmtId="0" fontId="5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51" fillId="26" borderId="34" applyNumberFormat="0" applyAlignment="0" applyProtection="0"/>
    <xf numFmtId="0" fontId="52" fillId="0" borderId="39" applyNumberFormat="0" applyFill="0" applyAlignment="0" applyProtection="0"/>
    <xf numFmtId="0" fontId="53" fillId="41" borderId="0" applyNumberFormat="0" applyBorder="0" applyAlignment="0" applyProtection="0"/>
    <xf numFmtId="0" fontId="3" fillId="0" borderId="0"/>
    <xf numFmtId="0" fontId="20" fillId="42" borderId="40" applyNumberFormat="0" applyFont="0" applyAlignment="0" applyProtection="0"/>
    <xf numFmtId="0" fontId="54" fillId="39" borderId="41" applyNumberFormat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55" fillId="0" borderId="0"/>
    <xf numFmtId="0" fontId="56" fillId="0" borderId="0" applyNumberFormat="0" applyFill="0" applyBorder="0" applyAlignment="0" applyProtection="0"/>
    <xf numFmtId="0" fontId="57" fillId="0" borderId="42" applyNumberFormat="0" applyFill="0" applyAlignment="0" applyProtection="0"/>
    <xf numFmtId="0" fontId="58" fillId="0" borderId="0" applyNumberFormat="0" applyFill="0" applyBorder="0" applyAlignment="0" applyProtection="0"/>
    <xf numFmtId="0" fontId="20" fillId="0" borderId="0"/>
    <xf numFmtId="0" fontId="20" fillId="0" borderId="0"/>
    <xf numFmtId="0" fontId="20" fillId="0" borderId="0"/>
    <xf numFmtId="9" fontId="20" fillId="0" borderId="0" applyFont="0" applyFill="0" applyBorder="0" applyAlignment="0" applyProtection="0"/>
    <xf numFmtId="0" fontId="5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9" fontId="20" fillId="0" borderId="0" applyFont="0" applyFill="0" applyBorder="0" applyAlignment="0" applyProtection="0"/>
    <xf numFmtId="0" fontId="20" fillId="0" borderId="0"/>
    <xf numFmtId="0" fontId="50" fillId="0" borderId="0" applyNumberFormat="0" applyFill="0" applyBorder="0" applyAlignment="0" applyProtection="0">
      <alignment vertical="top"/>
      <protection locked="0"/>
    </xf>
    <xf numFmtId="9" fontId="20" fillId="0" borderId="0" applyFont="0" applyFill="0" applyBorder="0" applyAlignment="0" applyProtection="0"/>
    <xf numFmtId="0" fontId="20" fillId="0" borderId="0"/>
    <xf numFmtId="0" fontId="50" fillId="0" borderId="0" applyNumberFormat="0" applyFill="0" applyBorder="0" applyAlignment="0" applyProtection="0">
      <alignment vertical="top"/>
      <protection locked="0"/>
    </xf>
    <xf numFmtId="9" fontId="20" fillId="0" borderId="0" applyFont="0" applyFill="0" applyBorder="0" applyAlignment="0" applyProtection="0"/>
    <xf numFmtId="0" fontId="20" fillId="0" borderId="0"/>
    <xf numFmtId="0" fontId="50" fillId="0" borderId="0" applyNumberFormat="0" applyFill="0" applyBorder="0" applyAlignment="0" applyProtection="0">
      <alignment vertical="top"/>
      <protection locked="0"/>
    </xf>
    <xf numFmtId="9" fontId="20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9" fontId="20" fillId="0" borderId="0" applyFont="0" applyFill="0" applyBorder="0" applyAlignment="0" applyProtection="0"/>
    <xf numFmtId="0" fontId="50" fillId="0" borderId="0" applyNumberFormat="0" applyFill="0" applyBorder="0" applyAlignment="0" applyProtection="0">
      <alignment vertical="top"/>
      <protection locked="0"/>
    </xf>
    <xf numFmtId="9" fontId="20" fillId="0" borderId="0" applyFont="0" applyFill="0" applyBorder="0" applyAlignment="0" applyProtection="0"/>
    <xf numFmtId="0" fontId="20" fillId="0" borderId="0"/>
    <xf numFmtId="0" fontId="5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9" fontId="20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9" fontId="20" fillId="0" borderId="0" applyFont="0" applyFill="0" applyBorder="0" applyAlignment="0" applyProtection="0"/>
    <xf numFmtId="0" fontId="5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9" fontId="20" fillId="0" borderId="0" applyFont="0" applyFill="0" applyBorder="0" applyAlignment="0" applyProtection="0"/>
    <xf numFmtId="0" fontId="20" fillId="0" borderId="0"/>
    <xf numFmtId="0" fontId="20" fillId="0" borderId="0"/>
    <xf numFmtId="0" fontId="50" fillId="0" borderId="0" applyNumberFormat="0" applyFill="0" applyBorder="0" applyAlignment="0" applyProtection="0">
      <alignment vertical="top"/>
      <protection locked="0"/>
    </xf>
    <xf numFmtId="9" fontId="20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9" fontId="20" fillId="0" borderId="0" applyFont="0" applyFill="0" applyBorder="0" applyAlignment="0" applyProtection="0"/>
    <xf numFmtId="0" fontId="5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9" fontId="20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9" fontId="20" fillId="0" borderId="0" applyFont="0" applyFill="0" applyBorder="0" applyAlignment="0" applyProtection="0"/>
    <xf numFmtId="0" fontId="50" fillId="0" borderId="0" applyNumberFormat="0" applyFill="0" applyBorder="0" applyAlignment="0" applyProtection="0">
      <alignment vertical="top"/>
      <protection locked="0"/>
    </xf>
    <xf numFmtId="9" fontId="20" fillId="0" borderId="0" applyFont="0" applyFill="0" applyBorder="0" applyAlignment="0" applyProtection="0"/>
    <xf numFmtId="0" fontId="20" fillId="0" borderId="0"/>
    <xf numFmtId="0" fontId="5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9" fontId="20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9" fontId="20" fillId="0" borderId="0" applyFont="0" applyFill="0" applyBorder="0" applyAlignment="0" applyProtection="0"/>
    <xf numFmtId="0" fontId="50" fillId="0" borderId="0" applyNumberFormat="0" applyFill="0" applyBorder="0" applyAlignment="0" applyProtection="0">
      <alignment vertical="top"/>
      <protection locked="0"/>
    </xf>
    <xf numFmtId="9" fontId="20" fillId="0" borderId="0" applyFont="0" applyFill="0" applyBorder="0" applyAlignment="0" applyProtection="0"/>
    <xf numFmtId="0" fontId="20" fillId="0" borderId="0"/>
    <xf numFmtId="0" fontId="5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9" fontId="20" fillId="0" borderId="0" applyFont="0" applyFill="0" applyBorder="0" applyAlignment="0" applyProtection="0"/>
    <xf numFmtId="0" fontId="20" fillId="0" borderId="0"/>
    <xf numFmtId="0" fontId="20" fillId="0" borderId="0"/>
    <xf numFmtId="0" fontId="50" fillId="0" borderId="0" applyNumberFormat="0" applyFill="0" applyBorder="0" applyAlignment="0" applyProtection="0">
      <alignment vertical="top"/>
      <protection locked="0"/>
    </xf>
    <xf numFmtId="9" fontId="20" fillId="0" borderId="0" applyFont="0" applyFill="0" applyBorder="0" applyAlignment="0" applyProtection="0"/>
    <xf numFmtId="0" fontId="20" fillId="0" borderId="0"/>
    <xf numFmtId="0" fontId="20" fillId="0" borderId="0"/>
    <xf numFmtId="0" fontId="50" fillId="0" borderId="0" applyNumberFormat="0" applyFill="0" applyBorder="0" applyAlignment="0" applyProtection="0">
      <alignment vertical="top"/>
      <protection locked="0"/>
    </xf>
    <xf numFmtId="9" fontId="20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9" fontId="20" fillId="0" borderId="0" applyFont="0" applyFill="0" applyBorder="0" applyAlignment="0" applyProtection="0"/>
    <xf numFmtId="0" fontId="5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9" fontId="20" fillId="0" borderId="0" applyFont="0" applyFill="0" applyBorder="0" applyAlignment="0" applyProtection="0"/>
    <xf numFmtId="0" fontId="20" fillId="0" borderId="0"/>
    <xf numFmtId="0" fontId="20" fillId="0" borderId="0"/>
    <xf numFmtId="0" fontId="50" fillId="0" borderId="0" applyNumberFormat="0" applyFill="0" applyBorder="0" applyAlignment="0" applyProtection="0">
      <alignment vertical="top"/>
      <protection locked="0"/>
    </xf>
    <xf numFmtId="9" fontId="20" fillId="0" borderId="0" applyFont="0" applyFill="0" applyBorder="0" applyAlignment="0" applyProtection="0"/>
    <xf numFmtId="0" fontId="20" fillId="0" borderId="0"/>
    <xf numFmtId="0" fontId="20" fillId="0" borderId="0"/>
    <xf numFmtId="0" fontId="50" fillId="0" borderId="0" applyNumberFormat="0" applyFill="0" applyBorder="0" applyAlignment="0" applyProtection="0">
      <alignment vertical="top"/>
      <protection locked="0"/>
    </xf>
    <xf numFmtId="9" fontId="20" fillId="0" borderId="0" applyFont="0" applyFill="0" applyBorder="0" applyAlignment="0" applyProtection="0"/>
    <xf numFmtId="0" fontId="20" fillId="0" borderId="0"/>
    <xf numFmtId="0" fontId="20" fillId="0" borderId="0"/>
    <xf numFmtId="0" fontId="50" fillId="0" borderId="0" applyNumberFormat="0" applyFill="0" applyBorder="0" applyAlignment="0" applyProtection="0">
      <alignment vertical="top"/>
      <protection locked="0"/>
    </xf>
    <xf numFmtId="9" fontId="20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9" fontId="20" fillId="0" borderId="0" applyFont="0" applyFill="0" applyBorder="0" applyAlignment="0" applyProtection="0"/>
    <xf numFmtId="0" fontId="5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9" fontId="20" fillId="0" borderId="0" applyFont="0" applyFill="0" applyBorder="0" applyAlignment="0" applyProtection="0"/>
    <xf numFmtId="0" fontId="20" fillId="0" borderId="0"/>
    <xf numFmtId="0" fontId="20" fillId="0" borderId="0"/>
    <xf numFmtId="0" fontId="50" fillId="0" borderId="0" applyNumberFormat="0" applyFill="0" applyBorder="0" applyAlignment="0" applyProtection="0">
      <alignment vertical="top"/>
      <protection locked="0"/>
    </xf>
    <xf numFmtId="9" fontId="20" fillId="0" borderId="0" applyFont="0" applyFill="0" applyBorder="0" applyAlignment="0" applyProtection="0"/>
    <xf numFmtId="0" fontId="20" fillId="0" borderId="0"/>
    <xf numFmtId="0" fontId="20" fillId="0" borderId="0"/>
    <xf numFmtId="0" fontId="50" fillId="0" borderId="0" applyNumberFormat="0" applyFill="0" applyBorder="0" applyAlignment="0" applyProtection="0">
      <alignment vertical="top"/>
      <protection locked="0"/>
    </xf>
    <xf numFmtId="9" fontId="20" fillId="0" borderId="0" applyFont="0" applyFill="0" applyBorder="0" applyAlignment="0" applyProtection="0"/>
    <xf numFmtId="0" fontId="20" fillId="0" borderId="0"/>
    <xf numFmtId="0" fontId="20" fillId="0" borderId="0"/>
    <xf numFmtId="0" fontId="50" fillId="0" borderId="0" applyNumberFormat="0" applyFill="0" applyBorder="0" applyAlignment="0" applyProtection="0">
      <alignment vertical="top"/>
      <protection locked="0"/>
    </xf>
    <xf numFmtId="9" fontId="20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9" fontId="20" fillId="0" borderId="0" applyFont="0" applyFill="0" applyBorder="0" applyAlignment="0" applyProtection="0"/>
    <xf numFmtId="0" fontId="5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9" fontId="20" fillId="0" borderId="0" applyFont="0" applyFill="0" applyBorder="0" applyAlignment="0" applyProtection="0"/>
    <xf numFmtId="0" fontId="20" fillId="0" borderId="0"/>
    <xf numFmtId="0" fontId="20" fillId="0" borderId="0"/>
    <xf numFmtId="0" fontId="50" fillId="0" borderId="0" applyNumberFormat="0" applyFill="0" applyBorder="0" applyAlignment="0" applyProtection="0">
      <alignment vertical="top"/>
      <protection locked="0"/>
    </xf>
    <xf numFmtId="9" fontId="20" fillId="0" borderId="0" applyFont="0" applyFill="0" applyBorder="0" applyAlignment="0" applyProtection="0"/>
    <xf numFmtId="0" fontId="20" fillId="0" borderId="0"/>
    <xf numFmtId="0" fontId="20" fillId="0" borderId="0"/>
    <xf numFmtId="0" fontId="50" fillId="0" borderId="0" applyNumberFormat="0" applyFill="0" applyBorder="0" applyAlignment="0" applyProtection="0">
      <alignment vertical="top"/>
      <protection locked="0"/>
    </xf>
    <xf numFmtId="9" fontId="20" fillId="0" borderId="0" applyFont="0" applyFill="0" applyBorder="0" applyAlignment="0" applyProtection="0"/>
    <xf numFmtId="0" fontId="20" fillId="0" borderId="0"/>
    <xf numFmtId="0" fontId="20" fillId="0" borderId="0"/>
    <xf numFmtId="0" fontId="50" fillId="0" borderId="0" applyNumberFormat="0" applyFill="0" applyBorder="0" applyAlignment="0" applyProtection="0">
      <alignment vertical="top"/>
      <protection locked="0"/>
    </xf>
    <xf numFmtId="9" fontId="20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9" fontId="3" fillId="0" borderId="0" applyFont="0" applyFill="0" applyBorder="0" applyAlignment="0" applyProtection="0"/>
    <xf numFmtId="0" fontId="59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20" fillId="0" borderId="0"/>
    <xf numFmtId="9" fontId="3" fillId="0" borderId="0" applyFont="0" applyFill="0" applyBorder="0" applyAlignment="0" applyProtection="0"/>
    <xf numFmtId="0" fontId="59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20" fillId="0" borderId="0"/>
    <xf numFmtId="0" fontId="3" fillId="0" borderId="0"/>
    <xf numFmtId="9" fontId="3" fillId="0" borderId="0" applyFont="0" applyFill="0" applyBorder="0" applyAlignment="0" applyProtection="0"/>
    <xf numFmtId="0" fontId="59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59" fillId="0" borderId="0" applyNumberFormat="0" applyFill="0" applyBorder="0" applyAlignment="0" applyProtection="0">
      <alignment vertical="top"/>
      <protection locked="0"/>
    </xf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20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35" fillId="21" borderId="0" applyNumberFormat="0" applyBorder="0" applyAlignment="0" applyProtection="0"/>
    <xf numFmtId="0" fontId="35" fillId="22" borderId="0" applyNumberFormat="0" applyBorder="0" applyAlignment="0" applyProtection="0"/>
    <xf numFmtId="0" fontId="35" fillId="23" borderId="0" applyNumberFormat="0" applyBorder="0" applyAlignment="0" applyProtection="0"/>
    <xf numFmtId="0" fontId="35" fillId="24" borderId="0" applyNumberFormat="0" applyBorder="0" applyAlignment="0" applyProtection="0"/>
    <xf numFmtId="0" fontId="35" fillId="25" borderId="0" applyNumberFormat="0" applyBorder="0" applyAlignment="0" applyProtection="0"/>
    <xf numFmtId="0" fontId="35" fillId="26" borderId="0" applyNumberFormat="0" applyBorder="0" applyAlignment="0" applyProtection="0"/>
    <xf numFmtId="0" fontId="35" fillId="27" borderId="0" applyNumberFormat="0" applyBorder="0" applyAlignment="0" applyProtection="0"/>
    <xf numFmtId="0" fontId="35" fillId="28" borderId="0" applyNumberFormat="0" applyBorder="0" applyAlignment="0" applyProtection="0"/>
    <xf numFmtId="0" fontId="35" fillId="29" borderId="0" applyNumberFormat="0" applyBorder="0" applyAlignment="0" applyProtection="0"/>
    <xf numFmtId="0" fontId="35" fillId="24" borderId="0" applyNumberFormat="0" applyBorder="0" applyAlignment="0" applyProtection="0"/>
    <xf numFmtId="0" fontId="35" fillId="27" borderId="0" applyNumberFormat="0" applyBorder="0" applyAlignment="0" applyProtection="0"/>
    <xf numFmtId="0" fontId="35" fillId="30" borderId="0" applyNumberFormat="0" applyBorder="0" applyAlignment="0" applyProtection="0"/>
    <xf numFmtId="0" fontId="41" fillId="31" borderId="0" applyNumberFormat="0" applyBorder="0" applyAlignment="0" applyProtection="0"/>
    <xf numFmtId="0" fontId="41" fillId="28" borderId="0" applyNumberFormat="0" applyBorder="0" applyAlignment="0" applyProtection="0"/>
    <xf numFmtId="0" fontId="41" fillId="29" borderId="0" applyNumberFormat="0" applyBorder="0" applyAlignment="0" applyProtection="0"/>
    <xf numFmtId="0" fontId="41" fillId="32" borderId="0" applyNumberFormat="0" applyBorder="0" applyAlignment="0" applyProtection="0"/>
    <xf numFmtId="0" fontId="41" fillId="33" borderId="0" applyNumberFormat="0" applyBorder="0" applyAlignment="0" applyProtection="0"/>
    <xf numFmtId="0" fontId="41" fillId="34" borderId="0" applyNumberFormat="0" applyBorder="0" applyAlignment="0" applyProtection="0"/>
    <xf numFmtId="0" fontId="41" fillId="35" borderId="0" applyNumberFormat="0" applyBorder="0" applyAlignment="0" applyProtection="0"/>
    <xf numFmtId="0" fontId="41" fillId="36" borderId="0" applyNumberFormat="0" applyBorder="0" applyAlignment="0" applyProtection="0"/>
    <xf numFmtId="0" fontId="41" fillId="37" borderId="0" applyNumberFormat="0" applyBorder="0" applyAlignment="0" applyProtection="0"/>
    <xf numFmtId="0" fontId="41" fillId="32" borderId="0" applyNumberFormat="0" applyBorder="0" applyAlignment="0" applyProtection="0"/>
    <xf numFmtId="0" fontId="41" fillId="33" borderId="0" applyNumberFormat="0" applyBorder="0" applyAlignment="0" applyProtection="0"/>
    <xf numFmtId="0" fontId="41" fillId="38" borderId="0" applyNumberFormat="0" applyBorder="0" applyAlignment="0" applyProtection="0"/>
    <xf numFmtId="0" fontId="42" fillId="22" borderId="0" applyNumberFormat="0" applyBorder="0" applyAlignment="0" applyProtection="0"/>
    <xf numFmtId="0" fontId="43" fillId="39" borderId="34" applyNumberFormat="0" applyAlignment="0" applyProtection="0"/>
    <xf numFmtId="0" fontId="44" fillId="40" borderId="35" applyNumberFormat="0" applyAlignment="0" applyProtection="0"/>
    <xf numFmtId="0" fontId="45" fillId="0" borderId="0" applyNumberFormat="0" applyFill="0" applyBorder="0" applyAlignment="0" applyProtection="0"/>
    <xf numFmtId="0" fontId="46" fillId="23" borderId="0" applyNumberFormat="0" applyBorder="0" applyAlignment="0" applyProtection="0"/>
    <xf numFmtId="0" fontId="47" fillId="0" borderId="36" applyNumberFormat="0" applyFill="0" applyAlignment="0" applyProtection="0"/>
    <xf numFmtId="0" fontId="48" fillId="0" borderId="37" applyNumberFormat="0" applyFill="0" applyAlignment="0" applyProtection="0"/>
    <xf numFmtId="0" fontId="49" fillId="0" borderId="38" applyNumberFormat="0" applyFill="0" applyAlignment="0" applyProtection="0"/>
    <xf numFmtId="0" fontId="49" fillId="0" borderId="0" applyNumberFormat="0" applyFill="0" applyBorder="0" applyAlignment="0" applyProtection="0"/>
    <xf numFmtId="0" fontId="20" fillId="0" borderId="0"/>
    <xf numFmtId="0" fontId="51" fillId="26" borderId="34" applyNumberFormat="0" applyAlignment="0" applyProtection="0"/>
    <xf numFmtId="0" fontId="52" fillId="0" borderId="39" applyNumberFormat="0" applyFill="0" applyAlignment="0" applyProtection="0"/>
    <xf numFmtId="0" fontId="53" fillId="41" borderId="0" applyNumberFormat="0" applyBorder="0" applyAlignment="0" applyProtection="0"/>
    <xf numFmtId="0" fontId="20" fillId="0" borderId="0"/>
    <xf numFmtId="0" fontId="3" fillId="0" borderId="0"/>
    <xf numFmtId="0" fontId="20" fillId="42" borderId="40" applyNumberFormat="0" applyFont="0" applyAlignment="0" applyProtection="0"/>
    <xf numFmtId="0" fontId="54" fillId="39" borderId="41" applyNumberFormat="0" applyAlignment="0" applyProtection="0"/>
    <xf numFmtId="9" fontId="20" fillId="0" borderId="0" applyFon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42" applyNumberFormat="0" applyFill="0" applyAlignment="0" applyProtection="0"/>
    <xf numFmtId="0" fontId="58" fillId="0" borderId="0" applyNumberFormat="0" applyFill="0" applyBorder="0" applyAlignment="0" applyProtection="0"/>
    <xf numFmtId="0" fontId="20" fillId="0" borderId="0"/>
    <xf numFmtId="0" fontId="20" fillId="0" borderId="0"/>
    <xf numFmtId="9" fontId="20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20" fillId="0" borderId="0"/>
    <xf numFmtId="0" fontId="20" fillId="0" borderId="0"/>
    <xf numFmtId="0" fontId="3" fillId="0" borderId="0"/>
    <xf numFmtId="9" fontId="20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9" fontId="20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3" fillId="0" borderId="0"/>
    <xf numFmtId="0" fontId="3" fillId="0" borderId="0"/>
    <xf numFmtId="9" fontId="20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20" fillId="0" borderId="0"/>
    <xf numFmtId="0" fontId="20" fillId="0" borderId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9" fontId="20" fillId="0" borderId="0" applyFont="0" applyFill="0" applyBorder="0" applyAlignment="0" applyProtection="0"/>
    <xf numFmtId="0" fontId="20" fillId="0" borderId="0"/>
    <xf numFmtId="9" fontId="20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9" fontId="20" fillId="0" borderId="0" applyFont="0" applyFill="0" applyBorder="0" applyAlignment="0" applyProtection="0"/>
    <xf numFmtId="0" fontId="20" fillId="0" borderId="0"/>
    <xf numFmtId="9" fontId="20" fillId="0" borderId="0" applyFont="0" applyFill="0" applyBorder="0" applyAlignment="0" applyProtection="0"/>
    <xf numFmtId="0" fontId="20" fillId="0" borderId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9" fontId="20" fillId="0" borderId="0" applyFont="0" applyFill="0" applyBorder="0" applyAlignment="0" applyProtection="0"/>
    <xf numFmtId="0" fontId="20" fillId="0" borderId="0"/>
    <xf numFmtId="9" fontId="20" fillId="0" borderId="0" applyFont="0" applyFill="0" applyBorder="0" applyAlignment="0" applyProtection="0"/>
    <xf numFmtId="0" fontId="20" fillId="0" borderId="0"/>
    <xf numFmtId="0" fontId="20" fillId="0" borderId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9" fontId="20" fillId="0" borderId="0" applyFont="0" applyFill="0" applyBorder="0" applyAlignment="0" applyProtection="0"/>
    <xf numFmtId="0" fontId="20" fillId="0" borderId="0"/>
    <xf numFmtId="0" fontId="20" fillId="0" borderId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9" fontId="20" fillId="0" borderId="0" applyFont="0" applyFill="0" applyBorder="0" applyAlignment="0" applyProtection="0"/>
    <xf numFmtId="0" fontId="20" fillId="0" borderId="0"/>
    <xf numFmtId="0" fontId="20" fillId="0" borderId="0"/>
    <xf numFmtId="9" fontId="20" fillId="0" borderId="0" applyFont="0" applyFill="0" applyBorder="0" applyAlignment="0" applyProtection="0"/>
    <xf numFmtId="0" fontId="20" fillId="0" borderId="0"/>
    <xf numFmtId="0" fontId="20" fillId="0" borderId="0"/>
    <xf numFmtId="9" fontId="20" fillId="0" borderId="0" applyFont="0" applyFill="0" applyBorder="0" applyAlignment="0" applyProtection="0"/>
    <xf numFmtId="0" fontId="20" fillId="0" borderId="0"/>
    <xf numFmtId="0" fontId="20" fillId="0" borderId="0"/>
    <xf numFmtId="9" fontId="20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9" fontId="20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9" fontId="20" fillId="0" borderId="0" applyFont="0" applyFill="0" applyBorder="0" applyAlignment="0" applyProtection="0"/>
    <xf numFmtId="0" fontId="20" fillId="0" borderId="0"/>
    <xf numFmtId="0" fontId="3" fillId="0" borderId="0"/>
    <xf numFmtId="9" fontId="20" fillId="0" borderId="0" applyFont="0" applyFill="0" applyBorder="0" applyAlignment="0" applyProtection="0"/>
    <xf numFmtId="0" fontId="20" fillId="0" borderId="0"/>
    <xf numFmtId="0" fontId="20" fillId="0" borderId="0"/>
    <xf numFmtId="9" fontId="3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20" fillId="0" borderId="0"/>
    <xf numFmtId="0" fontId="20" fillId="0" borderId="0"/>
    <xf numFmtId="9" fontId="3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20" fillId="0" borderId="0"/>
    <xf numFmtId="0" fontId="20" fillId="0" borderId="0"/>
    <xf numFmtId="0" fontId="59" fillId="0" borderId="0" applyNumberFormat="0" applyFill="0" applyBorder="0" applyAlignment="0" applyProtection="0">
      <alignment vertical="top"/>
      <protection locked="0"/>
    </xf>
    <xf numFmtId="9" fontId="20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9" fontId="20" fillId="0" borderId="0" applyFont="0" applyFill="0" applyBorder="0" applyAlignment="0" applyProtection="0"/>
    <xf numFmtId="0" fontId="3" fillId="0" borderId="0"/>
    <xf numFmtId="0" fontId="3" fillId="0" borderId="0"/>
    <xf numFmtId="9" fontId="20" fillId="0" borderId="0" applyFont="0" applyFill="0" applyBorder="0" applyAlignment="0" applyProtection="0"/>
    <xf numFmtId="0" fontId="20" fillId="0" borderId="0"/>
    <xf numFmtId="0" fontId="20" fillId="0" borderId="0"/>
    <xf numFmtId="9" fontId="3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20" fillId="0" borderId="0"/>
    <xf numFmtId="9" fontId="20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9" fontId="20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3" fillId="0" borderId="0"/>
    <xf numFmtId="0" fontId="20" fillId="0" borderId="0"/>
    <xf numFmtId="0" fontId="20" fillId="0" borderId="0"/>
    <xf numFmtId="0" fontId="3" fillId="0" borderId="0"/>
    <xf numFmtId="9" fontId="20" fillId="0" borderId="0" applyFont="0" applyFill="0" applyBorder="0" applyAlignment="0" applyProtection="0"/>
    <xf numFmtId="0" fontId="20" fillId="0" borderId="0"/>
    <xf numFmtId="0" fontId="20" fillId="0" borderId="0"/>
    <xf numFmtId="0" fontId="57" fillId="0" borderId="42" applyNumberFormat="0" applyFill="0" applyAlignment="0" applyProtection="0"/>
    <xf numFmtId="9" fontId="20" fillId="0" borderId="0" applyFont="0" applyFill="0" applyBorder="0" applyAlignment="0" applyProtection="0"/>
    <xf numFmtId="0" fontId="54" fillId="39" borderId="41" applyNumberFormat="0" applyAlignment="0" applyProtection="0"/>
    <xf numFmtId="0" fontId="43" fillId="39" borderId="34" applyNumberFormat="0" applyAlignment="0" applyProtection="0"/>
    <xf numFmtId="0" fontId="20" fillId="42" borderId="40" applyNumberFormat="0" applyFont="0" applyAlignment="0" applyProtection="0"/>
    <xf numFmtId="0" fontId="20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51" fillId="26" borderId="34" applyNumberFormat="0" applyAlignment="0" applyProtection="0"/>
    <xf numFmtId="0" fontId="51" fillId="26" borderId="34" applyNumberForma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0" fillId="0" borderId="0"/>
    <xf numFmtId="0" fontId="20" fillId="0" borderId="0"/>
    <xf numFmtId="0" fontId="20" fillId="42" borderId="40" applyNumberFormat="0" applyFont="0" applyAlignment="0" applyProtection="0"/>
    <xf numFmtId="0" fontId="54" fillId="39" borderId="41" applyNumberFormat="0" applyAlignment="0" applyProtection="0"/>
    <xf numFmtId="9" fontId="20" fillId="0" borderId="0" applyFont="0" applyFill="0" applyBorder="0" applyAlignment="0" applyProtection="0"/>
    <xf numFmtId="0" fontId="57" fillId="0" borderId="42" applyNumberFormat="0" applyFill="0" applyAlignment="0" applyProtection="0"/>
    <xf numFmtId="0" fontId="20" fillId="0" borderId="0"/>
    <xf numFmtId="0" fontId="20" fillId="0" borderId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20" fillId="0" borderId="0"/>
    <xf numFmtId="0" fontId="20" fillId="0" borderId="0"/>
    <xf numFmtId="9" fontId="20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9" fontId="20" fillId="0" borderId="0" applyFont="0" applyFill="0" applyBorder="0" applyAlignment="0" applyProtection="0"/>
    <xf numFmtId="0" fontId="20" fillId="0" borderId="0"/>
    <xf numFmtId="9" fontId="20" fillId="0" borderId="0" applyFont="0" applyFill="0" applyBorder="0" applyAlignment="0" applyProtection="0"/>
    <xf numFmtId="0" fontId="20" fillId="0" borderId="0"/>
    <xf numFmtId="0" fontId="20" fillId="0" borderId="0"/>
    <xf numFmtId="0" fontId="3" fillId="0" borderId="0"/>
    <xf numFmtId="9" fontId="20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9" fontId="20" fillId="0" borderId="0" applyFont="0" applyFill="0" applyBorder="0" applyAlignment="0" applyProtection="0"/>
    <xf numFmtId="0" fontId="51" fillId="26" borderId="34" applyNumberFormat="0" applyAlignment="0" applyProtection="0"/>
    <xf numFmtId="9" fontId="20" fillId="0" borderId="0" applyFont="0" applyFill="0" applyBorder="0" applyAlignment="0" applyProtection="0"/>
    <xf numFmtId="0" fontId="20" fillId="0" borderId="0"/>
    <xf numFmtId="0" fontId="20" fillId="0" borderId="0"/>
    <xf numFmtId="9" fontId="20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9" fontId="20" fillId="0" borderId="0" applyFont="0" applyFill="0" applyBorder="0" applyAlignment="0" applyProtection="0"/>
    <xf numFmtId="0" fontId="20" fillId="0" borderId="0"/>
    <xf numFmtId="9" fontId="20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20" fillId="0" borderId="0"/>
    <xf numFmtId="0" fontId="20" fillId="42" borderId="40" applyNumberFormat="0" applyFont="0" applyAlignment="0" applyProtection="0"/>
    <xf numFmtId="0" fontId="43" fillId="39" borderId="34" applyNumberFormat="0" applyAlignment="0" applyProtection="0"/>
    <xf numFmtId="9" fontId="20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9" fontId="20" fillId="0" borderId="0" applyFont="0" applyFill="0" applyBorder="0" applyAlignment="0" applyProtection="0"/>
    <xf numFmtId="0" fontId="54" fillId="39" borderId="41" applyNumberFormat="0" applyAlignment="0" applyProtection="0"/>
    <xf numFmtId="9" fontId="20" fillId="0" borderId="0" applyFont="0" applyFill="0" applyBorder="0" applyAlignment="0" applyProtection="0"/>
    <xf numFmtId="0" fontId="20" fillId="0" borderId="0"/>
    <xf numFmtId="9" fontId="20" fillId="0" borderId="0" applyFont="0" applyFill="0" applyBorder="0" applyAlignment="0" applyProtection="0"/>
    <xf numFmtId="0" fontId="57" fillId="0" borderId="42" applyNumberFormat="0" applyFill="0" applyAlignment="0" applyProtection="0"/>
    <xf numFmtId="9" fontId="20" fillId="0" borderId="0" applyFont="0" applyFill="0" applyBorder="0" applyAlignment="0" applyProtection="0"/>
    <xf numFmtId="0" fontId="20" fillId="0" borderId="0"/>
    <xf numFmtId="0" fontId="20" fillId="0" borderId="0"/>
    <xf numFmtId="9" fontId="20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9" fontId="20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9" fontId="20" fillId="0" borderId="0" applyFont="0" applyFill="0" applyBorder="0" applyAlignment="0" applyProtection="0"/>
    <xf numFmtId="0" fontId="20" fillId="0" borderId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20" fillId="0" borderId="0"/>
    <xf numFmtId="0" fontId="20" fillId="0" borderId="0"/>
    <xf numFmtId="9" fontId="20" fillId="0" borderId="0" applyFont="0" applyFill="0" applyBorder="0" applyAlignment="0" applyProtection="0"/>
    <xf numFmtId="0" fontId="20" fillId="0" borderId="0"/>
    <xf numFmtId="0" fontId="20" fillId="0" borderId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20" fillId="0" borderId="0"/>
    <xf numFmtId="0" fontId="20" fillId="0" borderId="0"/>
    <xf numFmtId="9" fontId="20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20" fillId="0" borderId="0"/>
    <xf numFmtId="9" fontId="20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9" fontId="20" fillId="0" borderId="0" applyFont="0" applyFill="0" applyBorder="0" applyAlignment="0" applyProtection="0"/>
    <xf numFmtId="0" fontId="20" fillId="0" borderId="0"/>
    <xf numFmtId="0" fontId="20" fillId="0" borderId="0"/>
    <xf numFmtId="9" fontId="20" fillId="0" borderId="0" applyFont="0" applyFill="0" applyBorder="0" applyAlignment="0" applyProtection="0"/>
    <xf numFmtId="0" fontId="20" fillId="0" borderId="0"/>
    <xf numFmtId="0" fontId="20" fillId="0" borderId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9" fontId="20" fillId="0" borderId="0" applyFont="0" applyFill="0" applyBorder="0" applyAlignment="0" applyProtection="0"/>
    <xf numFmtId="0" fontId="20" fillId="0" borderId="0"/>
    <xf numFmtId="0" fontId="20" fillId="0" borderId="0"/>
    <xf numFmtId="9" fontId="20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9" fontId="20" fillId="0" borderId="0" applyFont="0" applyFill="0" applyBorder="0" applyAlignment="0" applyProtection="0"/>
    <xf numFmtId="0" fontId="20" fillId="0" borderId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20" fillId="0" borderId="0"/>
    <xf numFmtId="0" fontId="20" fillId="0" borderId="0"/>
    <xf numFmtId="9" fontId="20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9" fontId="3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59" fillId="0" borderId="0" applyNumberFormat="0" applyFill="0" applyBorder="0" applyAlignment="0" applyProtection="0">
      <alignment vertical="top"/>
      <protection locked="0"/>
    </xf>
    <xf numFmtId="0" fontId="20" fillId="0" borderId="0"/>
    <xf numFmtId="0" fontId="20" fillId="0" borderId="0"/>
    <xf numFmtId="0" fontId="3" fillId="0" borderId="0"/>
    <xf numFmtId="9" fontId="20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20" fillId="0" borderId="0"/>
    <xf numFmtId="0" fontId="20" fillId="0" borderId="0"/>
    <xf numFmtId="9" fontId="20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20" fillId="0" borderId="0"/>
    <xf numFmtId="0" fontId="43" fillId="39" borderId="34" applyNumberFormat="0" applyAlignment="0" applyProtection="0"/>
    <xf numFmtId="9" fontId="20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20" fillId="0" borderId="0"/>
    <xf numFmtId="9" fontId="20" fillId="0" borderId="0" applyFont="0" applyFill="0" applyBorder="0" applyAlignment="0" applyProtection="0"/>
    <xf numFmtId="0" fontId="20" fillId="0" borderId="0"/>
    <xf numFmtId="0" fontId="20" fillId="0" borderId="0"/>
    <xf numFmtId="9" fontId="20" fillId="0" borderId="0" applyFont="0" applyFill="0" applyBorder="0" applyAlignment="0" applyProtection="0"/>
    <xf numFmtId="0" fontId="20" fillId="0" borderId="0"/>
    <xf numFmtId="0" fontId="20" fillId="0" borderId="0"/>
    <xf numFmtId="9" fontId="20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20" fillId="0" borderId="0"/>
    <xf numFmtId="0" fontId="20" fillId="0" borderId="0"/>
    <xf numFmtId="9" fontId="20" fillId="0" borderId="0" applyFont="0" applyFill="0" applyBorder="0" applyAlignment="0" applyProtection="0"/>
    <xf numFmtId="0" fontId="20" fillId="0" borderId="0"/>
    <xf numFmtId="0" fontId="20" fillId="0" borderId="0"/>
    <xf numFmtId="9" fontId="20" fillId="0" borderId="0" applyFont="0" applyFill="0" applyBorder="0" applyAlignment="0" applyProtection="0"/>
    <xf numFmtId="0" fontId="20" fillId="0" borderId="0"/>
    <xf numFmtId="0" fontId="20" fillId="0" borderId="0"/>
    <xf numFmtId="9" fontId="20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20" fillId="0" borderId="0"/>
    <xf numFmtId="0" fontId="20" fillId="0" borderId="0"/>
    <xf numFmtId="9" fontId="20" fillId="0" borderId="0" applyFont="0" applyFill="0" applyBorder="0" applyAlignment="0" applyProtection="0"/>
    <xf numFmtId="0" fontId="20" fillId="0" borderId="0"/>
    <xf numFmtId="0" fontId="20" fillId="0" borderId="0"/>
    <xf numFmtId="9" fontId="20" fillId="0" borderId="0" applyFont="0" applyFill="0" applyBorder="0" applyAlignment="0" applyProtection="0"/>
    <xf numFmtId="0" fontId="20" fillId="0" borderId="0"/>
    <xf numFmtId="0" fontId="20" fillId="0" borderId="0"/>
    <xf numFmtId="9" fontId="20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20" fillId="0" borderId="0"/>
    <xf numFmtId="0" fontId="20" fillId="0" borderId="0"/>
    <xf numFmtId="9" fontId="20" fillId="0" borderId="0" applyFont="0" applyFill="0" applyBorder="0" applyAlignment="0" applyProtection="0"/>
    <xf numFmtId="0" fontId="20" fillId="0" borderId="0"/>
    <xf numFmtId="9" fontId="20" fillId="0" borderId="0" applyFont="0" applyFill="0" applyBorder="0" applyAlignment="0" applyProtection="0"/>
    <xf numFmtId="0" fontId="20" fillId="0" borderId="0"/>
    <xf numFmtId="0" fontId="20" fillId="0" borderId="0"/>
    <xf numFmtId="9" fontId="20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9" fontId="3" fillId="0" borderId="0" applyFont="0" applyFill="0" applyBorder="0" applyAlignment="0" applyProtection="0"/>
    <xf numFmtId="0" fontId="20" fillId="0" borderId="0"/>
    <xf numFmtId="9" fontId="20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20" fillId="0" borderId="0"/>
    <xf numFmtId="0" fontId="20" fillId="0" borderId="0"/>
    <xf numFmtId="9" fontId="20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20" fillId="0" borderId="0"/>
    <xf numFmtId="9" fontId="20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20" fillId="0" borderId="0"/>
    <xf numFmtId="9" fontId="20" fillId="0" borderId="0" applyFont="0" applyFill="0" applyBorder="0" applyAlignment="0" applyProtection="0"/>
    <xf numFmtId="0" fontId="20" fillId="0" borderId="0"/>
    <xf numFmtId="0" fontId="20" fillId="0" borderId="0"/>
    <xf numFmtId="9" fontId="20" fillId="0" borderId="0" applyFont="0" applyFill="0" applyBorder="0" applyAlignment="0" applyProtection="0"/>
    <xf numFmtId="0" fontId="20" fillId="0" borderId="0"/>
    <xf numFmtId="0" fontId="20" fillId="0" borderId="0"/>
    <xf numFmtId="9" fontId="20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20" fillId="0" borderId="0"/>
    <xf numFmtId="0" fontId="20" fillId="0" borderId="0"/>
    <xf numFmtId="9" fontId="20" fillId="0" borderId="0" applyFont="0" applyFill="0" applyBorder="0" applyAlignment="0" applyProtection="0"/>
    <xf numFmtId="0" fontId="20" fillId="0" borderId="0"/>
    <xf numFmtId="0" fontId="20" fillId="0" borderId="0"/>
    <xf numFmtId="9" fontId="20" fillId="0" borderId="0" applyFont="0" applyFill="0" applyBorder="0" applyAlignment="0" applyProtection="0"/>
    <xf numFmtId="0" fontId="20" fillId="0" borderId="0"/>
    <xf numFmtId="0" fontId="20" fillId="0" borderId="0"/>
    <xf numFmtId="9" fontId="20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20" fillId="0" borderId="0"/>
    <xf numFmtId="0" fontId="20" fillId="0" borderId="0"/>
    <xf numFmtId="9" fontId="20" fillId="0" borderId="0" applyFont="0" applyFill="0" applyBorder="0" applyAlignment="0" applyProtection="0"/>
    <xf numFmtId="0" fontId="20" fillId="0" borderId="0"/>
    <xf numFmtId="0" fontId="20" fillId="0" borderId="0"/>
    <xf numFmtId="9" fontId="20" fillId="0" borderId="0" applyFont="0" applyFill="0" applyBorder="0" applyAlignment="0" applyProtection="0"/>
    <xf numFmtId="0" fontId="20" fillId="0" borderId="0"/>
    <xf numFmtId="0" fontId="20" fillId="0" borderId="0"/>
    <xf numFmtId="9" fontId="20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20" fillId="0" borderId="0"/>
    <xf numFmtId="0" fontId="20" fillId="0" borderId="0"/>
    <xf numFmtId="9" fontId="20" fillId="0" borderId="0" applyFont="0" applyFill="0" applyBorder="0" applyAlignment="0" applyProtection="0"/>
    <xf numFmtId="0" fontId="20" fillId="0" borderId="0"/>
    <xf numFmtId="9" fontId="20" fillId="0" borderId="0" applyFont="0" applyFill="0" applyBorder="0" applyAlignment="0" applyProtection="0"/>
    <xf numFmtId="0" fontId="20" fillId="0" borderId="0"/>
    <xf numFmtId="0" fontId="20" fillId="0" borderId="0"/>
    <xf numFmtId="9" fontId="20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0" fillId="0" borderId="0"/>
    <xf numFmtId="0" fontId="1" fillId="0" borderId="0"/>
    <xf numFmtId="0" fontId="3" fillId="0" borderId="0"/>
    <xf numFmtId="0" fontId="3" fillId="0" borderId="0"/>
    <xf numFmtId="0" fontId="35" fillId="0" borderId="0"/>
    <xf numFmtId="0" fontId="3" fillId="0" borderId="0"/>
    <xf numFmtId="0" fontId="60" fillId="43" borderId="0" applyNumberFormat="0" applyBorder="0" applyAlignment="0" applyProtection="0"/>
    <xf numFmtId="0" fontId="60" fillId="26" borderId="0" applyNumberFormat="0" applyBorder="0" applyAlignment="0" applyProtection="0"/>
    <xf numFmtId="0" fontId="60" fillId="42" borderId="0" applyNumberFormat="0" applyBorder="0" applyAlignment="0" applyProtection="0"/>
    <xf numFmtId="0" fontId="60" fillId="43" borderId="0" applyNumberFormat="0" applyBorder="0" applyAlignment="0" applyProtection="0"/>
    <xf numFmtId="0" fontId="60" fillId="25" borderId="0" applyNumberFormat="0" applyBorder="0" applyAlignment="0" applyProtection="0"/>
    <xf numFmtId="0" fontId="60" fillId="26" borderId="0" applyNumberFormat="0" applyBorder="0" applyAlignment="0" applyProtection="0"/>
    <xf numFmtId="0" fontId="60" fillId="39" borderId="0" applyNumberFormat="0" applyBorder="0" applyAlignment="0" applyProtection="0"/>
    <xf numFmtId="0" fontId="60" fillId="28" borderId="0" applyNumberFormat="0" applyBorder="0" applyAlignment="0" applyProtection="0"/>
    <xf numFmtId="0" fontId="60" fillId="41" borderId="0" applyNumberFormat="0" applyBorder="0" applyAlignment="0" applyProtection="0"/>
    <xf numFmtId="0" fontId="60" fillId="39" borderId="0" applyNumberFormat="0" applyBorder="0" applyAlignment="0" applyProtection="0"/>
    <xf numFmtId="0" fontId="60" fillId="27" borderId="0" applyNumberFormat="0" applyBorder="0" applyAlignment="0" applyProtection="0"/>
    <xf numFmtId="0" fontId="60" fillId="26" borderId="0" applyNumberFormat="0" applyBorder="0" applyAlignment="0" applyProtection="0"/>
    <xf numFmtId="0" fontId="62" fillId="44" borderId="0" applyNumberFormat="0" applyBorder="0" applyAlignment="0" applyProtection="0"/>
    <xf numFmtId="0" fontId="62" fillId="28" borderId="0" applyNumberFormat="0" applyBorder="0" applyAlignment="0" applyProtection="0"/>
    <xf numFmtId="0" fontId="62" fillId="33" borderId="0" applyNumberFormat="0" applyBorder="0" applyAlignment="0" applyProtection="0"/>
    <xf numFmtId="0" fontId="62" fillId="39" borderId="0" applyNumberFormat="0" applyBorder="0" applyAlignment="0" applyProtection="0"/>
    <xf numFmtId="0" fontId="62" fillId="27" borderId="0" applyNumberFormat="0" applyBorder="0" applyAlignment="0" applyProtection="0"/>
    <xf numFmtId="0" fontId="62" fillId="26" borderId="0" applyNumberFormat="0" applyBorder="0" applyAlignment="0" applyProtection="0"/>
    <xf numFmtId="0" fontId="62" fillId="35" borderId="0" applyNumberFormat="0" applyBorder="0" applyAlignment="0" applyProtection="0"/>
    <xf numFmtId="0" fontId="62" fillId="36" borderId="0" applyNumberFormat="0" applyBorder="0" applyAlignment="0" applyProtection="0"/>
    <xf numFmtId="0" fontId="62" fillId="33" borderId="0" applyNumberFormat="0" applyBorder="0" applyAlignment="0" applyProtection="0"/>
    <xf numFmtId="0" fontId="62" fillId="44" borderId="0" applyNumberFormat="0" applyBorder="0" applyAlignment="0" applyProtection="0"/>
    <xf numFmtId="0" fontId="62" fillId="37" borderId="0" applyNumberFormat="0" applyBorder="0" applyAlignment="0" applyProtection="0"/>
    <xf numFmtId="0" fontId="62" fillId="38" borderId="0" applyNumberFormat="0" applyBorder="0" applyAlignment="0" applyProtection="0"/>
    <xf numFmtId="0" fontId="63" fillId="22" borderId="0" applyNumberFormat="0" applyBorder="0" applyAlignment="0" applyProtection="0"/>
    <xf numFmtId="0" fontId="64" fillId="43" borderId="34" applyNumberFormat="0" applyAlignment="0" applyProtection="0"/>
    <xf numFmtId="0" fontId="15" fillId="40" borderId="35" applyNumberFormat="0" applyAlignment="0" applyProtection="0"/>
    <xf numFmtId="0" fontId="65" fillId="0" borderId="0" applyNumberFormat="0" applyFill="0" applyBorder="0" applyAlignment="0" applyProtection="0"/>
    <xf numFmtId="0" fontId="66" fillId="23" borderId="0" applyNumberFormat="0" applyBorder="0" applyAlignment="0" applyProtection="0"/>
    <xf numFmtId="0" fontId="67" fillId="0" borderId="36" applyNumberFormat="0" applyFill="0" applyAlignment="0" applyProtection="0"/>
    <xf numFmtId="0" fontId="68" fillId="0" borderId="37" applyNumberFormat="0" applyFill="0" applyAlignment="0" applyProtection="0"/>
    <xf numFmtId="0" fontId="69" fillId="0" borderId="43" applyNumberFormat="0" applyFill="0" applyAlignment="0" applyProtection="0"/>
    <xf numFmtId="0" fontId="69" fillId="0" borderId="0" applyNumberFormat="0" applyFill="0" applyBorder="0" applyAlignment="0" applyProtection="0"/>
    <xf numFmtId="0" fontId="70" fillId="26" borderId="34" applyNumberFormat="0" applyAlignment="0" applyProtection="0"/>
    <xf numFmtId="0" fontId="71" fillId="0" borderId="39" applyNumberFormat="0" applyFill="0" applyAlignment="0" applyProtection="0"/>
    <xf numFmtId="0" fontId="72" fillId="41" borderId="0" applyNumberFormat="0" applyBorder="0" applyAlignment="0" applyProtection="0"/>
    <xf numFmtId="0" fontId="73" fillId="43" borderId="41" applyNumberFormat="0" applyAlignment="0" applyProtection="0"/>
    <xf numFmtId="0" fontId="74" fillId="0" borderId="0" applyNumberFormat="0" applyFill="0" applyBorder="0" applyAlignment="0" applyProtection="0"/>
    <xf numFmtId="0" fontId="75" fillId="0" borderId="42" applyNumberFormat="0" applyFill="0" applyAlignment="0" applyProtection="0"/>
    <xf numFmtId="0" fontId="76" fillId="0" borderId="0" applyNumberFormat="0" applyFill="0" applyBorder="0" applyAlignment="0" applyProtection="0"/>
    <xf numFmtId="0" fontId="20" fillId="0" borderId="0"/>
    <xf numFmtId="0" fontId="20" fillId="0" borderId="0"/>
    <xf numFmtId="0" fontId="61" fillId="0" borderId="0"/>
  </cellStyleXfs>
  <cellXfs count="329">
    <xf numFmtId="0" fontId="0" fillId="0" borderId="0" xfId="0"/>
    <xf numFmtId="0" fontId="4" fillId="2" borderId="0" xfId="0" applyFont="1" applyFill="1"/>
    <xf numFmtId="0" fontId="8" fillId="0" borderId="1" xfId="0" applyFont="1" applyBorder="1"/>
    <xf numFmtId="0" fontId="8" fillId="0" borderId="2" xfId="0" applyFont="1" applyBorder="1"/>
    <xf numFmtId="0" fontId="8" fillId="0" borderId="3" xfId="0" applyFont="1" applyBorder="1"/>
    <xf numFmtId="0" fontId="9" fillId="0" borderId="4" xfId="0" applyFont="1" applyBorder="1"/>
    <xf numFmtId="0" fontId="8" fillId="2" borderId="0" xfId="0" applyFont="1" applyFill="1"/>
    <xf numFmtId="0" fontId="11" fillId="2" borderId="0" xfId="0" applyFont="1" applyFill="1"/>
    <xf numFmtId="10" fontId="8" fillId="0" borderId="5" xfId="8" applyNumberFormat="1" applyFont="1" applyBorder="1"/>
    <xf numFmtId="10" fontId="8" fillId="0" borderId="6" xfId="8" applyNumberFormat="1" applyFont="1" applyBorder="1"/>
    <xf numFmtId="166" fontId="8" fillId="2" borderId="0" xfId="6" applyNumberFormat="1" applyFont="1" applyFill="1" applyBorder="1"/>
    <xf numFmtId="0" fontId="9" fillId="2" borderId="0" xfId="0" applyFont="1" applyFill="1"/>
    <xf numFmtId="10" fontId="13" fillId="2" borderId="0" xfId="0" applyNumberFormat="1" applyFont="1" applyFill="1"/>
    <xf numFmtId="10" fontId="8" fillId="2" borderId="11" xfId="8" applyNumberFormat="1" applyFont="1" applyFill="1" applyBorder="1"/>
    <xf numFmtId="10" fontId="8" fillId="0" borderId="11" xfId="8" applyNumberFormat="1" applyFont="1" applyFill="1" applyBorder="1"/>
    <xf numFmtId="10" fontId="8" fillId="2" borderId="6" xfId="8" applyNumberFormat="1" applyFont="1" applyFill="1" applyBorder="1"/>
    <xf numFmtId="10" fontId="8" fillId="0" borderId="6" xfId="8" applyNumberFormat="1" applyFont="1" applyFill="1" applyBorder="1"/>
    <xf numFmtId="0" fontId="8" fillId="0" borderId="5" xfId="0" applyFont="1" applyBorder="1"/>
    <xf numFmtId="0" fontId="8" fillId="0" borderId="6" xfId="0" applyFont="1" applyBorder="1"/>
    <xf numFmtId="0" fontId="8" fillId="0" borderId="12" xfId="0" applyFont="1" applyBorder="1"/>
    <xf numFmtId="0" fontId="8" fillId="0" borderId="14" xfId="0" applyFont="1" applyBorder="1"/>
    <xf numFmtId="10" fontId="8" fillId="0" borderId="15" xfId="0" applyNumberFormat="1" applyFont="1" applyBorder="1"/>
    <xf numFmtId="0" fontId="10" fillId="3" borderId="15" xfId="9" applyFont="1" applyFill="1" applyBorder="1" applyAlignment="1"/>
    <xf numFmtId="0" fontId="14" fillId="3" borderId="15" xfId="0" applyFont="1" applyFill="1" applyBorder="1" applyAlignment="1">
      <alignment horizontal="center"/>
    </xf>
    <xf numFmtId="0" fontId="0" fillId="2" borderId="0" xfId="0" applyFill="1"/>
    <xf numFmtId="0" fontId="8" fillId="0" borderId="4" xfId="0" applyFont="1" applyBorder="1"/>
    <xf numFmtId="0" fontId="8" fillId="2" borderId="16" xfId="0" applyFont="1" applyFill="1" applyBorder="1"/>
    <xf numFmtId="167" fontId="8" fillId="2" borderId="0" xfId="0" applyNumberFormat="1" applyFont="1" applyFill="1"/>
    <xf numFmtId="0" fontId="8" fillId="0" borderId="0" xfId="0" applyFont="1"/>
    <xf numFmtId="10" fontId="8" fillId="0" borderId="6" xfId="0" applyNumberFormat="1" applyFont="1" applyBorder="1"/>
    <xf numFmtId="10" fontId="8" fillId="2" borderId="0" xfId="0" applyNumberFormat="1" applyFont="1" applyFill="1"/>
    <xf numFmtId="0" fontId="6" fillId="2" borderId="0" xfId="0" applyFont="1" applyFill="1" applyAlignment="1">
      <alignment vertical="center"/>
    </xf>
    <xf numFmtId="0" fontId="11" fillId="2" borderId="0" xfId="0" applyFont="1" applyFill="1" applyAlignment="1">
      <alignment vertical="center"/>
    </xf>
    <xf numFmtId="0" fontId="7" fillId="0" borderId="7" xfId="0" applyFont="1" applyBorder="1"/>
    <xf numFmtId="0" fontId="16" fillId="0" borderId="11" xfId="0" applyFont="1" applyBorder="1" applyAlignment="1">
      <alignment horizontal="center"/>
    </xf>
    <xf numFmtId="0" fontId="17" fillId="0" borderId="9" xfId="0" applyFont="1" applyBorder="1"/>
    <xf numFmtId="0" fontId="8" fillId="2" borderId="0" xfId="0" applyFont="1" applyFill="1" applyAlignment="1">
      <alignment vertical="center"/>
    </xf>
    <xf numFmtId="0" fontId="12" fillId="0" borderId="2" xfId="0" applyFont="1" applyBorder="1"/>
    <xf numFmtId="0" fontId="13" fillId="0" borderId="4" xfId="0" applyFont="1" applyBorder="1"/>
    <xf numFmtId="0" fontId="13" fillId="0" borderId="9" xfId="0" applyFont="1" applyBorder="1"/>
    <xf numFmtId="0" fontId="13" fillId="2" borderId="0" xfId="0" applyFont="1" applyFill="1"/>
    <xf numFmtId="0" fontId="13" fillId="2" borderId="19" xfId="0" applyFont="1" applyFill="1" applyBorder="1"/>
    <xf numFmtId="0" fontId="8" fillId="2" borderId="19" xfId="0" applyFont="1" applyFill="1" applyBorder="1"/>
    <xf numFmtId="10" fontId="8" fillId="0" borderId="20" xfId="8" applyNumberFormat="1" applyFont="1" applyBorder="1"/>
    <xf numFmtId="0" fontId="8" fillId="0" borderId="21" xfId="0" applyFont="1" applyBorder="1"/>
    <xf numFmtId="0" fontId="16" fillId="0" borderId="5" xfId="0" applyFont="1" applyBorder="1" applyAlignment="1">
      <alignment horizontal="center"/>
    </xf>
    <xf numFmtId="0" fontId="9" fillId="0" borderId="10" xfId="0" applyFont="1" applyBorder="1"/>
    <xf numFmtId="0" fontId="9" fillId="0" borderId="14" xfId="0" applyFont="1" applyBorder="1"/>
    <xf numFmtId="0" fontId="9" fillId="0" borderId="9" xfId="0" applyFont="1" applyBorder="1"/>
    <xf numFmtId="0" fontId="17" fillId="0" borderId="2" xfId="0" applyFont="1" applyBorder="1"/>
    <xf numFmtId="0" fontId="17" fillId="0" borderId="4" xfId="0" applyFont="1" applyBorder="1"/>
    <xf numFmtId="0" fontId="14" fillId="3" borderId="9" xfId="9" applyFont="1" applyFill="1" applyBorder="1" applyAlignment="1"/>
    <xf numFmtId="0" fontId="14" fillId="3" borderId="9" xfId="9" applyFont="1" applyFill="1" applyBorder="1" applyAlignment="1">
      <alignment horizontal="center"/>
    </xf>
    <xf numFmtId="0" fontId="0" fillId="2" borderId="10" xfId="0" applyFill="1" applyBorder="1"/>
    <xf numFmtId="0" fontId="8" fillId="2" borderId="0" xfId="0" applyFont="1" applyFill="1" applyAlignment="1">
      <alignment horizontal="right"/>
    </xf>
    <xf numFmtId="10" fontId="8" fillId="0" borderId="6" xfId="8" applyNumberFormat="1" applyFont="1" applyBorder="1" applyAlignment="1">
      <alignment horizontal="right"/>
    </xf>
    <xf numFmtId="10" fontId="8" fillId="0" borderId="12" xfId="8" applyNumberFormat="1" applyFont="1" applyBorder="1" applyAlignment="1">
      <alignment horizontal="right"/>
    </xf>
    <xf numFmtId="3" fontId="11" fillId="2" borderId="0" xfId="0" applyNumberFormat="1" applyFont="1" applyFill="1" applyAlignment="1">
      <alignment vertical="center"/>
    </xf>
    <xf numFmtId="10" fontId="8" fillId="0" borderId="20" xfId="8" applyNumberFormat="1" applyFont="1" applyFill="1" applyBorder="1"/>
    <xf numFmtId="0" fontId="8" fillId="2" borderId="22" xfId="0" applyFont="1" applyFill="1" applyBorder="1"/>
    <xf numFmtId="0" fontId="0" fillId="0" borderId="0" xfId="0" applyAlignment="1">
      <alignment vertical="center"/>
    </xf>
    <xf numFmtId="0" fontId="12" fillId="0" borderId="8" xfId="0" applyFont="1" applyBorder="1"/>
    <xf numFmtId="168" fontId="8" fillId="2" borderId="0" xfId="7" applyNumberFormat="1" applyFont="1" applyFill="1" applyBorder="1"/>
    <xf numFmtId="10" fontId="11" fillId="2" borderId="0" xfId="0" applyNumberFormat="1" applyFont="1" applyFill="1"/>
    <xf numFmtId="10" fontId="8" fillId="0" borderId="5" xfId="8" applyNumberFormat="1" applyFont="1" applyBorder="1" applyAlignment="1">
      <alignment horizontal="right"/>
    </xf>
    <xf numFmtId="10" fontId="8" fillId="0" borderId="13" xfId="8" applyNumberFormat="1" applyFont="1" applyBorder="1" applyAlignment="1">
      <alignment horizontal="right"/>
    </xf>
    <xf numFmtId="10" fontId="9" fillId="0" borderId="15" xfId="8" applyNumberFormat="1" applyFont="1" applyBorder="1" applyAlignment="1">
      <alignment horizontal="right"/>
    </xf>
    <xf numFmtId="10" fontId="9" fillId="2" borderId="0" xfId="0" applyNumberFormat="1" applyFont="1" applyFill="1" applyAlignment="1">
      <alignment horizontal="right"/>
    </xf>
    <xf numFmtId="0" fontId="8" fillId="2" borderId="10" xfId="0" applyFont="1" applyFill="1" applyBorder="1" applyAlignment="1">
      <alignment horizontal="right"/>
    </xf>
    <xf numFmtId="0" fontId="8" fillId="2" borderId="22" xfId="0" applyFont="1" applyFill="1" applyBorder="1" applyAlignment="1">
      <alignment horizontal="right"/>
    </xf>
    <xf numFmtId="10" fontId="8" fillId="0" borderId="20" xfId="8" applyNumberFormat="1" applyFont="1" applyBorder="1" applyAlignment="1">
      <alignment horizontal="right"/>
    </xf>
    <xf numFmtId="0" fontId="9" fillId="0" borderId="15" xfId="0" applyFont="1" applyBorder="1" applyAlignment="1">
      <alignment horizontal="right"/>
    </xf>
    <xf numFmtId="10" fontId="8" fillId="0" borderId="21" xfId="8" applyNumberFormat="1" applyFont="1" applyBorder="1" applyAlignment="1">
      <alignment horizontal="right"/>
    </xf>
    <xf numFmtId="10" fontId="17" fillId="0" borderId="12" xfId="8" applyNumberFormat="1" applyFont="1" applyBorder="1" applyAlignment="1">
      <alignment horizontal="right"/>
    </xf>
    <xf numFmtId="0" fontId="14" fillId="3" borderId="15" xfId="9" applyFont="1" applyFill="1" applyBorder="1" applyAlignment="1"/>
    <xf numFmtId="10" fontId="13" fillId="0" borderId="15" xfId="8" applyNumberFormat="1" applyFont="1" applyBorder="1" applyAlignment="1">
      <alignment horizontal="right"/>
    </xf>
    <xf numFmtId="0" fontId="15" fillId="3" borderId="9" xfId="9" applyFont="1" applyFill="1" applyBorder="1" applyAlignment="1"/>
    <xf numFmtId="10" fontId="17" fillId="0" borderId="5" xfId="8" applyNumberFormat="1" applyFont="1" applyBorder="1" applyAlignment="1">
      <alignment horizontal="right"/>
    </xf>
    <xf numFmtId="10" fontId="17" fillId="0" borderId="20" xfId="8" applyNumberFormat="1" applyFont="1" applyBorder="1" applyAlignment="1">
      <alignment horizontal="right"/>
    </xf>
    <xf numFmtId="10" fontId="13" fillId="0" borderId="13" xfId="8" applyNumberFormat="1" applyFont="1" applyBorder="1" applyAlignment="1">
      <alignment horizontal="right"/>
    </xf>
    <xf numFmtId="0" fontId="14" fillId="3" borderId="11" xfId="0" applyFont="1" applyFill="1" applyBorder="1" applyAlignment="1">
      <alignment horizontal="center"/>
    </xf>
    <xf numFmtId="10" fontId="13" fillId="4" borderId="13" xfId="8" applyNumberFormat="1" applyFont="1" applyFill="1" applyBorder="1"/>
    <xf numFmtId="10" fontId="13" fillId="4" borderId="13" xfId="0" applyNumberFormat="1" applyFont="1" applyFill="1" applyBorder="1"/>
    <xf numFmtId="0" fontId="17" fillId="0" borderId="3" xfId="0" applyFont="1" applyBorder="1"/>
    <xf numFmtId="10" fontId="13" fillId="4" borderId="15" xfId="8" applyNumberFormat="1" applyFont="1" applyFill="1" applyBorder="1" applyAlignment="1">
      <alignment horizontal="right"/>
    </xf>
    <xf numFmtId="0" fontId="18" fillId="2" borderId="0" xfId="0" applyFont="1" applyFill="1"/>
    <xf numFmtId="0" fontId="18" fillId="2" borderId="0" xfId="0" applyFont="1" applyFill="1" applyAlignment="1">
      <alignment vertical="center"/>
    </xf>
    <xf numFmtId="0" fontId="19" fillId="2" borderId="0" xfId="0" applyFont="1" applyFill="1" applyAlignment="1">
      <alignment vertical="center"/>
    </xf>
    <xf numFmtId="10" fontId="8" fillId="0" borderId="20" xfId="8" applyNumberFormat="1" applyFont="1" applyFill="1" applyBorder="1" applyAlignment="1">
      <alignment horizontal="right"/>
    </xf>
    <xf numFmtId="10" fontId="13" fillId="4" borderId="12" xfId="8" applyNumberFormat="1" applyFont="1" applyFill="1" applyBorder="1" applyAlignment="1">
      <alignment horizontal="right"/>
    </xf>
    <xf numFmtId="4" fontId="8" fillId="2" borderId="0" xfId="0" applyNumberFormat="1" applyFont="1" applyFill="1"/>
    <xf numFmtId="164" fontId="8" fillId="0" borderId="6" xfId="0" applyNumberFormat="1" applyFont="1" applyBorder="1"/>
    <xf numFmtId="164" fontId="13" fillId="0" borderId="13" xfId="0" applyNumberFormat="1" applyFont="1" applyBorder="1"/>
    <xf numFmtId="164" fontId="8" fillId="2" borderId="0" xfId="0" applyNumberFormat="1" applyFont="1" applyFill="1"/>
    <xf numFmtId="164" fontId="8" fillId="2" borderId="10" xfId="0" applyNumberFormat="1" applyFont="1" applyFill="1" applyBorder="1"/>
    <xf numFmtId="164" fontId="8" fillId="2" borderId="22" xfId="0" applyNumberFormat="1" applyFont="1" applyFill="1" applyBorder="1"/>
    <xf numFmtId="164" fontId="9" fillId="2" borderId="0" xfId="0" applyNumberFormat="1" applyFont="1" applyFill="1"/>
    <xf numFmtId="10" fontId="13" fillId="4" borderId="15" xfId="0" applyNumberFormat="1" applyFont="1" applyFill="1" applyBorder="1" applyAlignment="1">
      <alignment horizontal="right"/>
    </xf>
    <xf numFmtId="10" fontId="8" fillId="0" borderId="20" xfId="0" applyNumberFormat="1" applyFont="1" applyBorder="1" applyAlignment="1">
      <alignment horizontal="right"/>
    </xf>
    <xf numFmtId="10" fontId="8" fillId="4" borderId="12" xfId="0" applyNumberFormat="1" applyFont="1" applyFill="1" applyBorder="1" applyAlignment="1">
      <alignment horizontal="right"/>
    </xf>
    <xf numFmtId="10" fontId="8" fillId="0" borderId="21" xfId="0" applyNumberFormat="1" applyFont="1" applyBorder="1" applyAlignment="1">
      <alignment horizontal="right"/>
    </xf>
    <xf numFmtId="10" fontId="13" fillId="0" borderId="15" xfId="0" applyNumberFormat="1" applyFont="1" applyBorder="1" applyAlignment="1">
      <alignment horizontal="right"/>
    </xf>
    <xf numFmtId="10" fontId="8" fillId="0" borderId="12" xfId="0" applyNumberFormat="1" applyFont="1" applyBorder="1" applyAlignment="1">
      <alignment horizontal="right"/>
    </xf>
    <xf numFmtId="164" fontId="8" fillId="0" borderId="20" xfId="0" applyNumberFormat="1" applyFont="1" applyBorder="1" applyAlignment="1">
      <alignment horizontal="right"/>
    </xf>
    <xf numFmtId="164" fontId="8" fillId="0" borderId="25" xfId="0" applyNumberFormat="1" applyFont="1" applyBorder="1" applyAlignment="1">
      <alignment horizontal="right"/>
    </xf>
    <xf numFmtId="164" fontId="8" fillId="0" borderId="6" xfId="0" applyNumberFormat="1" applyFont="1" applyBorder="1" applyAlignment="1">
      <alignment horizontal="right"/>
    </xf>
    <xf numFmtId="164" fontId="8" fillId="0" borderId="24" xfId="0" applyNumberFormat="1" applyFont="1" applyBorder="1" applyAlignment="1">
      <alignment horizontal="right"/>
    </xf>
    <xf numFmtId="164" fontId="12" fillId="0" borderId="6" xfId="0" applyNumberFormat="1" applyFont="1" applyBorder="1" applyAlignment="1">
      <alignment horizontal="right"/>
    </xf>
    <xf numFmtId="164" fontId="12" fillId="0" borderId="24" xfId="0" applyNumberFormat="1" applyFont="1" applyBorder="1" applyAlignment="1">
      <alignment horizontal="right"/>
    </xf>
    <xf numFmtId="164" fontId="12" fillId="0" borderId="12" xfId="0" applyNumberFormat="1" applyFont="1" applyBorder="1" applyAlignment="1">
      <alignment horizontal="right"/>
    </xf>
    <xf numFmtId="169" fontId="8" fillId="0" borderId="5" xfId="0" applyNumberFormat="1" applyFont="1" applyBorder="1" applyAlignment="1">
      <alignment horizontal="right"/>
    </xf>
    <xf numFmtId="169" fontId="8" fillId="0" borderId="6" xfId="0" applyNumberFormat="1" applyFont="1" applyBorder="1" applyAlignment="1">
      <alignment horizontal="right"/>
    </xf>
    <xf numFmtId="169" fontId="8" fillId="0" borderId="13" xfId="0" applyNumberFormat="1" applyFont="1" applyBorder="1" applyAlignment="1">
      <alignment horizontal="right"/>
    </xf>
    <xf numFmtId="169" fontId="8" fillId="0" borderId="20" xfId="7" applyNumberFormat="1" applyFont="1" applyBorder="1" applyAlignment="1">
      <alignment horizontal="right"/>
    </xf>
    <xf numFmtId="169" fontId="8" fillId="0" borderId="6" xfId="7" applyNumberFormat="1" applyFont="1" applyBorder="1" applyAlignment="1">
      <alignment horizontal="right"/>
    </xf>
    <xf numFmtId="169" fontId="8" fillId="0" borderId="21" xfId="7" applyNumberFormat="1" applyFont="1" applyBorder="1" applyAlignment="1">
      <alignment horizontal="right"/>
    </xf>
    <xf numFmtId="169" fontId="17" fillId="0" borderId="20" xfId="0" applyNumberFormat="1" applyFont="1" applyBorder="1" applyAlignment="1">
      <alignment horizontal="right"/>
    </xf>
    <xf numFmtId="169" fontId="8" fillId="0" borderId="5" xfId="7" applyNumberFormat="1" applyFont="1" applyFill="1" applyBorder="1" applyAlignment="1">
      <alignment horizontal="right"/>
    </xf>
    <xf numFmtId="169" fontId="17" fillId="0" borderId="5" xfId="0" applyNumberFormat="1" applyFont="1" applyBorder="1" applyAlignment="1">
      <alignment horizontal="right"/>
    </xf>
    <xf numFmtId="169" fontId="17" fillId="0" borderId="12" xfId="0" applyNumberFormat="1" applyFont="1" applyBorder="1" applyAlignment="1">
      <alignment horizontal="right"/>
    </xf>
    <xf numFmtId="164" fontId="13" fillId="0" borderId="15" xfId="0" applyNumberFormat="1" applyFont="1" applyBorder="1"/>
    <xf numFmtId="169" fontId="8" fillId="0" borderId="5" xfId="0" applyNumberFormat="1" applyFont="1" applyBorder="1"/>
    <xf numFmtId="169" fontId="8" fillId="0" borderId="6" xfId="0" applyNumberFormat="1" applyFont="1" applyBorder="1"/>
    <xf numFmtId="169" fontId="8" fillId="0" borderId="21" xfId="0" applyNumberFormat="1" applyFont="1" applyBorder="1"/>
    <xf numFmtId="169" fontId="8" fillId="0" borderId="17" xfId="5" applyNumberFormat="1" applyFont="1" applyBorder="1" applyAlignment="1">
      <alignment horizontal="right"/>
    </xf>
    <xf numFmtId="10" fontId="17" fillId="0" borderId="13" xfId="8" applyNumberFormat="1" applyFont="1" applyBorder="1"/>
    <xf numFmtId="0" fontId="13" fillId="4" borderId="15" xfId="0" applyFont="1" applyFill="1" applyBorder="1"/>
    <xf numFmtId="0" fontId="9" fillId="0" borderId="7" xfId="0" applyFont="1" applyBorder="1"/>
    <xf numFmtId="10" fontId="9" fillId="0" borderId="11" xfId="0" applyNumberFormat="1" applyFont="1" applyBorder="1" applyAlignment="1">
      <alignment horizontal="right"/>
    </xf>
    <xf numFmtId="0" fontId="0" fillId="2" borderId="8" xfId="0" applyFill="1" applyBorder="1"/>
    <xf numFmtId="0" fontId="17" fillId="4" borderId="12" xfId="0" applyFont="1" applyFill="1" applyBorder="1" applyAlignment="1">
      <alignment horizontal="right"/>
    </xf>
    <xf numFmtId="10" fontId="9" fillId="4" borderId="12" xfId="8" applyNumberFormat="1" applyFont="1" applyFill="1" applyBorder="1" applyAlignment="1">
      <alignment horizontal="right"/>
    </xf>
    <xf numFmtId="0" fontId="8" fillId="6" borderId="1" xfId="0" applyFont="1" applyFill="1" applyBorder="1"/>
    <xf numFmtId="0" fontId="8" fillId="5" borderId="2" xfId="0" applyFont="1" applyFill="1" applyBorder="1"/>
    <xf numFmtId="0" fontId="8" fillId="7" borderId="2" xfId="0" applyFont="1" applyFill="1" applyBorder="1"/>
    <xf numFmtId="0" fontId="8" fillId="8" borderId="2" xfId="0" applyFont="1" applyFill="1" applyBorder="1"/>
    <xf numFmtId="0" fontId="8" fillId="9" borderId="2" xfId="0" applyFont="1" applyFill="1" applyBorder="1"/>
    <xf numFmtId="0" fontId="8" fillId="10" borderId="2" xfId="0" applyFont="1" applyFill="1" applyBorder="1"/>
    <xf numFmtId="0" fontId="8" fillId="11" borderId="2" xfId="0" applyFont="1" applyFill="1" applyBorder="1"/>
    <xf numFmtId="0" fontId="8" fillId="12" borderId="2" xfId="0" applyFont="1" applyFill="1" applyBorder="1"/>
    <xf numFmtId="0" fontId="8" fillId="14" borderId="2" xfId="0" applyFont="1" applyFill="1" applyBorder="1"/>
    <xf numFmtId="0" fontId="21" fillId="13" borderId="2" xfId="0" applyFont="1" applyFill="1" applyBorder="1"/>
    <xf numFmtId="165" fontId="9" fillId="2" borderId="10" xfId="0" applyNumberFormat="1" applyFont="1" applyFill="1" applyBorder="1"/>
    <xf numFmtId="0" fontId="22" fillId="2" borderId="0" xfId="0" applyFont="1" applyFill="1"/>
    <xf numFmtId="0" fontId="6" fillId="2" borderId="0" xfId="0" applyFont="1" applyFill="1"/>
    <xf numFmtId="0" fontId="9" fillId="4" borderId="4" xfId="0" applyFont="1" applyFill="1" applyBorder="1"/>
    <xf numFmtId="0" fontId="8" fillId="15" borderId="2" xfId="0" applyFont="1" applyFill="1" applyBorder="1"/>
    <xf numFmtId="9" fontId="8" fillId="15" borderId="11" xfId="8" applyFont="1" applyFill="1" applyBorder="1"/>
    <xf numFmtId="0" fontId="9" fillId="4" borderId="9" xfId="0" applyFont="1" applyFill="1" applyBorder="1"/>
    <xf numFmtId="0" fontId="9" fillId="0" borderId="0" xfId="0" applyFont="1"/>
    <xf numFmtId="0" fontId="8" fillId="0" borderId="15" xfId="0" applyFont="1" applyBorder="1"/>
    <xf numFmtId="169" fontId="8" fillId="0" borderId="15" xfId="13" applyNumberFormat="1" applyFont="1" applyBorder="1"/>
    <xf numFmtId="164" fontId="8" fillId="15" borderId="5" xfId="0" applyNumberFormat="1" applyFont="1" applyFill="1" applyBorder="1"/>
    <xf numFmtId="164" fontId="8" fillId="15" borderId="6" xfId="0" applyNumberFormat="1" applyFont="1" applyFill="1" applyBorder="1"/>
    <xf numFmtId="164" fontId="8" fillId="15" borderId="21" xfId="0" applyNumberFormat="1" applyFont="1" applyFill="1" applyBorder="1"/>
    <xf numFmtId="171" fontId="3" fillId="2" borderId="0" xfId="0" applyNumberFormat="1" applyFont="1" applyFill="1"/>
    <xf numFmtId="172" fontId="0" fillId="2" borderId="0" xfId="0" applyNumberFormat="1" applyFill="1"/>
    <xf numFmtId="10" fontId="0" fillId="2" borderId="0" xfId="0" applyNumberFormat="1" applyFill="1"/>
    <xf numFmtId="164" fontId="8" fillId="2" borderId="15" xfId="6" applyNumberFormat="1" applyFont="1" applyFill="1" applyBorder="1"/>
    <xf numFmtId="173" fontId="8" fillId="2" borderId="15" xfId="6" applyNumberFormat="1" applyFont="1" applyFill="1" applyBorder="1"/>
    <xf numFmtId="0" fontId="15" fillId="3" borderId="9" xfId="0" applyFont="1" applyFill="1" applyBorder="1"/>
    <xf numFmtId="174" fontId="8" fillId="15" borderId="2" xfId="0" applyNumberFormat="1" applyFont="1" applyFill="1" applyBorder="1" applyAlignment="1">
      <alignment horizontal="center"/>
    </xf>
    <xf numFmtId="0" fontId="12" fillId="15" borderId="6" xfId="0" applyFont="1" applyFill="1" applyBorder="1"/>
    <xf numFmtId="10" fontId="12" fillId="15" borderId="20" xfId="8" applyNumberFormat="1" applyFont="1" applyFill="1" applyBorder="1" applyAlignment="1">
      <alignment horizontal="right"/>
    </xf>
    <xf numFmtId="0" fontId="9" fillId="0" borderId="15" xfId="0" applyFont="1" applyBorder="1"/>
    <xf numFmtId="0" fontId="9" fillId="0" borderId="13" xfId="0" applyFont="1" applyBorder="1"/>
    <xf numFmtId="10" fontId="8" fillId="0" borderId="15" xfId="8" applyNumberFormat="1" applyFont="1" applyFill="1" applyBorder="1"/>
    <xf numFmtId="0" fontId="3" fillId="16" borderId="23" xfId="0" applyFont="1" applyFill="1" applyBorder="1"/>
    <xf numFmtId="10" fontId="8" fillId="15" borderId="20" xfId="8" applyNumberFormat="1" applyFont="1" applyFill="1" applyBorder="1" applyAlignment="1">
      <alignment horizontal="right"/>
    </xf>
    <xf numFmtId="0" fontId="3" fillId="2" borderId="0" xfId="0" applyFont="1" applyFill="1"/>
    <xf numFmtId="175" fontId="4" fillId="2" borderId="0" xfId="14" applyNumberFormat="1" applyFont="1" applyFill="1"/>
    <xf numFmtId="175" fontId="22" fillId="2" borderId="0" xfId="14" applyNumberFormat="1" applyFont="1" applyFill="1"/>
    <xf numFmtId="0" fontId="25" fillId="2" borderId="0" xfId="0" applyFont="1" applyFill="1"/>
    <xf numFmtId="0" fontId="26" fillId="2" borderId="0" xfId="0" applyFont="1" applyFill="1"/>
    <xf numFmtId="175" fontId="0" fillId="2" borderId="0" xfId="14" applyNumberFormat="1" applyFont="1" applyFill="1"/>
    <xf numFmtId="175" fontId="0" fillId="2" borderId="0" xfId="0" applyNumberFormat="1" applyFill="1"/>
    <xf numFmtId="164" fontId="4" fillId="2" borderId="0" xfId="0" applyNumberFormat="1" applyFont="1" applyFill="1"/>
    <xf numFmtId="0" fontId="9" fillId="15" borderId="2" xfId="0" applyFont="1" applyFill="1" applyBorder="1"/>
    <xf numFmtId="0" fontId="3" fillId="15" borderId="0" xfId="0" applyFont="1" applyFill="1"/>
    <xf numFmtId="166" fontId="9" fillId="15" borderId="12" xfId="0" applyNumberFormat="1" applyFont="1" applyFill="1" applyBorder="1"/>
    <xf numFmtId="2" fontId="0" fillId="2" borderId="0" xfId="0" applyNumberFormat="1" applyFill="1"/>
    <xf numFmtId="164" fontId="8" fillId="15" borderId="15" xfId="6" applyNumberFormat="1" applyFont="1" applyFill="1" applyBorder="1"/>
    <xf numFmtId="0" fontId="8" fillId="15" borderId="3" xfId="0" applyFont="1" applyFill="1" applyBorder="1" applyAlignment="1">
      <alignment wrapText="1"/>
    </xf>
    <xf numFmtId="0" fontId="9" fillId="15" borderId="4" xfId="0" applyFont="1" applyFill="1" applyBorder="1"/>
    <xf numFmtId="0" fontId="8" fillId="15" borderId="0" xfId="0" applyFont="1" applyFill="1"/>
    <xf numFmtId="10" fontId="8" fillId="0" borderId="15" xfId="8" applyNumberFormat="1" applyFont="1" applyBorder="1"/>
    <xf numFmtId="0" fontId="8" fillId="6" borderId="15" xfId="0" applyFont="1" applyFill="1" applyBorder="1"/>
    <xf numFmtId="0" fontId="8" fillId="5" borderId="15" xfId="0" applyFont="1" applyFill="1" applyBorder="1"/>
    <xf numFmtId="0" fontId="8" fillId="8" borderId="15" xfId="0" applyFont="1" applyFill="1" applyBorder="1"/>
    <xf numFmtId="0" fontId="8" fillId="9" borderId="15" xfId="0" applyFont="1" applyFill="1" applyBorder="1"/>
    <xf numFmtId="0" fontId="8" fillId="10" borderId="15" xfId="0" applyFont="1" applyFill="1" applyBorder="1"/>
    <xf numFmtId="0" fontId="8" fillId="14" borderId="15" xfId="0" applyFont="1" applyFill="1" applyBorder="1"/>
    <xf numFmtId="0" fontId="8" fillId="11" borderId="15" xfId="0" applyFont="1" applyFill="1" applyBorder="1"/>
    <xf numFmtId="0" fontId="8" fillId="12" borderId="15" xfId="0" applyFont="1" applyFill="1" applyBorder="1"/>
    <xf numFmtId="0" fontId="8" fillId="7" borderId="15" xfId="0" applyFont="1" applyFill="1" applyBorder="1"/>
    <xf numFmtId="0" fontId="27" fillId="13" borderId="15" xfId="0" applyFont="1" applyFill="1" applyBorder="1"/>
    <xf numFmtId="10" fontId="9" fillId="0" borderId="12" xfId="8" applyNumberFormat="1" applyFont="1" applyBorder="1"/>
    <xf numFmtId="37" fontId="8" fillId="0" borderId="21" xfId="0" applyNumberFormat="1" applyFont="1" applyBorder="1"/>
    <xf numFmtId="164" fontId="13" fillId="0" borderId="12" xfId="0" applyNumberFormat="1" applyFont="1" applyBorder="1"/>
    <xf numFmtId="164" fontId="8" fillId="15" borderId="15" xfId="0" applyNumberFormat="1" applyFont="1" applyFill="1" applyBorder="1"/>
    <xf numFmtId="0" fontId="17" fillId="0" borderId="15" xfId="0" applyFont="1" applyBorder="1"/>
    <xf numFmtId="0" fontId="8" fillId="15" borderId="15" xfId="0" applyFont="1" applyFill="1" applyBorder="1"/>
    <xf numFmtId="0" fontId="9" fillId="15" borderId="15" xfId="0" applyFont="1" applyFill="1" applyBorder="1"/>
    <xf numFmtId="164" fontId="9" fillId="15" borderId="15" xfId="0" applyNumberFormat="1" applyFont="1" applyFill="1" applyBorder="1"/>
    <xf numFmtId="169" fontId="9" fillId="0" borderId="12" xfId="13" applyNumberFormat="1" applyFont="1" applyBorder="1" applyAlignment="1">
      <alignment horizontal="right"/>
    </xf>
    <xf numFmtId="170" fontId="9" fillId="0" borderId="15" xfId="13" applyNumberFormat="1" applyFont="1" applyBorder="1" applyAlignment="1">
      <alignment horizontal="right"/>
    </xf>
    <xf numFmtId="169" fontId="8" fillId="0" borderId="15" xfId="13" applyNumberFormat="1" applyFont="1" applyBorder="1" applyAlignment="1">
      <alignment horizontal="right"/>
    </xf>
    <xf numFmtId="164" fontId="8" fillId="15" borderId="15" xfId="2" applyNumberFormat="1" applyFont="1" applyFill="1" applyBorder="1"/>
    <xf numFmtId="10" fontId="13" fillId="4" borderId="15" xfId="8" applyNumberFormat="1" applyFont="1" applyFill="1" applyBorder="1"/>
    <xf numFmtId="0" fontId="8" fillId="15" borderId="15" xfId="0" applyFont="1" applyFill="1" applyBorder="1" applyAlignment="1">
      <alignment horizontal="left" indent="1"/>
    </xf>
    <xf numFmtId="169" fontId="17" fillId="0" borderId="15" xfId="2" applyNumberFormat="1" applyFont="1" applyBorder="1" applyAlignment="1">
      <alignment horizontal="right"/>
    </xf>
    <xf numFmtId="10" fontId="26" fillId="15" borderId="0" xfId="0" applyNumberFormat="1" applyFont="1" applyFill="1"/>
    <xf numFmtId="175" fontId="25" fillId="15" borderId="0" xfId="14" applyNumberFormat="1" applyFont="1" applyFill="1"/>
    <xf numFmtId="0" fontId="28" fillId="17" borderId="28" xfId="0" applyFont="1" applyFill="1" applyBorder="1"/>
    <xf numFmtId="0" fontId="29" fillId="4" borderId="13" xfId="0" applyFont="1" applyFill="1" applyBorder="1"/>
    <xf numFmtId="0" fontId="29" fillId="4" borderId="10" xfId="0" applyFont="1" applyFill="1" applyBorder="1"/>
    <xf numFmtId="0" fontId="8" fillId="2" borderId="29" xfId="0" applyFont="1" applyFill="1" applyBorder="1"/>
    <xf numFmtId="0" fontId="8" fillId="2" borderId="18" xfId="0" applyFont="1" applyFill="1" applyBorder="1"/>
    <xf numFmtId="0" fontId="0" fillId="15" borderId="0" xfId="0" applyFill="1"/>
    <xf numFmtId="0" fontId="14" fillId="3" borderId="7" xfId="9" applyFont="1" applyFill="1" applyBorder="1" applyAlignment="1"/>
    <xf numFmtId="164" fontId="8" fillId="2" borderId="8" xfId="0" applyNumberFormat="1" applyFont="1" applyFill="1" applyBorder="1"/>
    <xf numFmtId="0" fontId="8" fillId="15" borderId="1" xfId="0" applyFont="1" applyFill="1" applyBorder="1"/>
    <xf numFmtId="164" fontId="8" fillId="0" borderId="20" xfId="0" applyNumberFormat="1" applyFont="1" applyBorder="1"/>
    <xf numFmtId="0" fontId="9" fillId="15" borderId="9" xfId="0" applyFont="1" applyFill="1" applyBorder="1"/>
    <xf numFmtId="4" fontId="8" fillId="0" borderId="15" xfId="0" applyNumberFormat="1" applyFont="1" applyBorder="1"/>
    <xf numFmtId="10" fontId="31" fillId="17" borderId="26" xfId="0" applyNumberFormat="1" applyFont="1" applyFill="1" applyBorder="1"/>
    <xf numFmtId="0" fontId="32" fillId="16" borderId="27" xfId="0" applyFont="1" applyFill="1" applyBorder="1"/>
    <xf numFmtId="0" fontId="30" fillId="17" borderId="0" xfId="0" applyFont="1" applyFill="1" applyAlignment="1">
      <alignment horizontal="center" wrapText="1"/>
    </xf>
    <xf numFmtId="0" fontId="8" fillId="18" borderId="10" xfId="0" applyFont="1" applyFill="1" applyBorder="1"/>
    <xf numFmtId="0" fontId="33" fillId="2" borderId="15" xfId="0" applyFont="1" applyFill="1" applyBorder="1" applyAlignment="1">
      <alignment horizontal="right"/>
    </xf>
    <xf numFmtId="4" fontId="23" fillId="5" borderId="15" xfId="10" applyNumberFormat="1" applyFont="1" applyFill="1" applyBorder="1"/>
    <xf numFmtId="4" fontId="23" fillId="9" borderId="15" xfId="10" applyNumberFormat="1" applyFont="1" applyFill="1" applyBorder="1"/>
    <xf numFmtId="4" fontId="23" fillId="10" borderId="15" xfId="10" applyNumberFormat="1" applyFont="1" applyFill="1" applyBorder="1"/>
    <xf numFmtId="4" fontId="34" fillId="19" borderId="15" xfId="10" applyNumberFormat="1" applyFont="1" applyFill="1" applyBorder="1"/>
    <xf numFmtId="4" fontId="23" fillId="7" borderId="15" xfId="10" applyNumberFormat="1" applyFont="1" applyFill="1" applyBorder="1"/>
    <xf numFmtId="0" fontId="8" fillId="0" borderId="10" xfId="0" applyFont="1" applyBorder="1"/>
    <xf numFmtId="10" fontId="8" fillId="2" borderId="21" xfId="8" applyNumberFormat="1" applyFont="1" applyFill="1" applyBorder="1"/>
    <xf numFmtId="10" fontId="8" fillId="0" borderId="31" xfId="8" applyNumberFormat="1" applyFont="1" applyFill="1" applyBorder="1"/>
    <xf numFmtId="10" fontId="8" fillId="0" borderId="30" xfId="8" applyNumberFormat="1" applyFont="1" applyFill="1" applyBorder="1"/>
    <xf numFmtId="0" fontId="8" fillId="2" borderId="10" xfId="0" applyFont="1" applyFill="1" applyBorder="1"/>
    <xf numFmtId="0" fontId="8" fillId="0" borderId="8" xfId="0" applyFont="1" applyBorder="1"/>
    <xf numFmtId="10" fontId="8" fillId="2" borderId="33" xfId="8" applyNumberFormat="1" applyFont="1" applyFill="1" applyBorder="1"/>
    <xf numFmtId="39" fontId="8" fillId="20" borderId="15" xfId="0" applyNumberFormat="1" applyFont="1" applyFill="1" applyBorder="1"/>
    <xf numFmtId="0" fontId="36" fillId="2" borderId="0" xfId="0" applyFont="1" applyFill="1"/>
    <xf numFmtId="0" fontId="39" fillId="2" borderId="0" xfId="0" applyFont="1" applyFill="1"/>
    <xf numFmtId="166" fontId="36" fillId="2" borderId="0" xfId="6" applyNumberFormat="1" applyFont="1" applyFill="1" applyBorder="1"/>
    <xf numFmtId="43" fontId="39" fillId="2" borderId="0" xfId="0" applyNumberFormat="1" applyFont="1" applyFill="1"/>
    <xf numFmtId="10" fontId="38" fillId="2" borderId="0" xfId="0" applyNumberFormat="1" applyFont="1" applyFill="1"/>
    <xf numFmtId="0" fontId="40" fillId="2" borderId="0" xfId="0" applyFont="1" applyFill="1"/>
    <xf numFmtId="0" fontId="8" fillId="15" borderId="18" xfId="0" applyFont="1" applyFill="1" applyBorder="1"/>
    <xf numFmtId="174" fontId="8" fillId="15" borderId="6" xfId="0" applyNumberFormat="1" applyFont="1" applyFill="1" applyBorder="1" applyAlignment="1">
      <alignment horizontal="center"/>
    </xf>
    <xf numFmtId="37" fontId="8" fillId="0" borderId="5" xfId="0" applyNumberFormat="1" applyFont="1" applyBorder="1"/>
    <xf numFmtId="164" fontId="8" fillId="15" borderId="15" xfId="3" applyNumberFormat="1" applyFont="1" applyFill="1" applyBorder="1" applyAlignment="1">
      <alignment horizontal="right"/>
    </xf>
    <xf numFmtId="0" fontId="7" fillId="15" borderId="11" xfId="0" applyFont="1" applyFill="1" applyBorder="1" applyAlignment="1">
      <alignment horizontal="center"/>
    </xf>
    <xf numFmtId="166" fontId="13" fillId="2" borderId="0" xfId="0" applyNumberFormat="1" applyFont="1" applyFill="1"/>
    <xf numFmtId="43" fontId="36" fillId="2" borderId="0" xfId="0" applyNumberFormat="1" applyFont="1" applyFill="1"/>
    <xf numFmtId="0" fontId="37" fillId="15" borderId="0" xfId="0" applyFont="1" applyFill="1" applyAlignment="1">
      <alignment wrapText="1"/>
    </xf>
    <xf numFmtId="10" fontId="8" fillId="15" borderId="15" xfId="8" applyNumberFormat="1" applyFont="1" applyFill="1" applyBorder="1"/>
    <xf numFmtId="10" fontId="9" fillId="15" borderId="12" xfId="8" applyNumberFormat="1" applyFont="1" applyFill="1" applyBorder="1"/>
    <xf numFmtId="10" fontId="8" fillId="15" borderId="11" xfId="8" applyNumberFormat="1" applyFont="1" applyFill="1" applyBorder="1"/>
    <xf numFmtId="169" fontId="8" fillId="15" borderId="5" xfId="0" applyNumberFormat="1" applyFont="1" applyFill="1" applyBorder="1"/>
    <xf numFmtId="169" fontId="8" fillId="15" borderId="6" xfId="0" applyNumberFormat="1" applyFont="1" applyFill="1" applyBorder="1"/>
    <xf numFmtId="173" fontId="8" fillId="15" borderId="15" xfId="6" applyNumberFormat="1" applyFont="1" applyFill="1" applyBorder="1"/>
    <xf numFmtId="0" fontId="8" fillId="15" borderId="0" xfId="0" applyFont="1" applyFill="1" applyAlignment="1">
      <alignment vertical="center"/>
    </xf>
    <xf numFmtId="37" fontId="8" fillId="15" borderId="5" xfId="0" applyNumberFormat="1" applyFont="1" applyFill="1" applyBorder="1"/>
    <xf numFmtId="10" fontId="8" fillId="15" borderId="6" xfId="8" applyNumberFormat="1" applyFont="1" applyFill="1" applyBorder="1"/>
    <xf numFmtId="10" fontId="8" fillId="15" borderId="6" xfId="0" applyNumberFormat="1" applyFont="1" applyFill="1" applyBorder="1"/>
    <xf numFmtId="0" fontId="7" fillId="15" borderId="5" xfId="0" applyFont="1" applyFill="1" applyBorder="1" applyAlignment="1">
      <alignment horizontal="center"/>
    </xf>
    <xf numFmtId="164" fontId="9" fillId="15" borderId="13" xfId="0" applyNumberFormat="1" applyFont="1" applyFill="1" applyBorder="1"/>
    <xf numFmtId="4" fontId="8" fillId="15" borderId="0" xfId="0" applyNumberFormat="1" applyFont="1" applyFill="1"/>
    <xf numFmtId="4" fontId="8" fillId="15" borderId="15" xfId="0" applyNumberFormat="1" applyFont="1" applyFill="1" applyBorder="1"/>
    <xf numFmtId="164" fontId="8" fillId="15" borderId="20" xfId="0" applyNumberFormat="1" applyFont="1" applyFill="1" applyBorder="1"/>
    <xf numFmtId="10" fontId="9" fillId="15" borderId="0" xfId="0" applyNumberFormat="1" applyFont="1" applyFill="1"/>
    <xf numFmtId="0" fontId="8" fillId="15" borderId="19" xfId="0" applyFont="1" applyFill="1" applyBorder="1"/>
    <xf numFmtId="10" fontId="8" fillId="15" borderId="5" xfId="8" applyNumberFormat="1" applyFont="1" applyFill="1" applyBorder="1"/>
    <xf numFmtId="10" fontId="8" fillId="15" borderId="20" xfId="8" applyNumberFormat="1" applyFont="1" applyFill="1" applyBorder="1"/>
    <xf numFmtId="10" fontId="8" fillId="15" borderId="13" xfId="8" applyNumberFormat="1" applyFont="1" applyFill="1" applyBorder="1"/>
    <xf numFmtId="0" fontId="9" fillId="15" borderId="0" xfId="0" applyFont="1" applyFill="1"/>
    <xf numFmtId="37" fontId="8" fillId="15" borderId="21" xfId="0" applyNumberFormat="1" applyFont="1" applyFill="1" applyBorder="1"/>
    <xf numFmtId="169" fontId="8" fillId="15" borderId="21" xfId="0" applyNumberFormat="1" applyFont="1" applyFill="1" applyBorder="1"/>
    <xf numFmtId="164" fontId="8" fillId="15" borderId="0" xfId="0" applyNumberFormat="1" applyFont="1" applyFill="1"/>
    <xf numFmtId="164" fontId="8" fillId="15" borderId="22" xfId="0" applyNumberFormat="1" applyFont="1" applyFill="1" applyBorder="1"/>
    <xf numFmtId="164" fontId="9" fillId="15" borderId="12" xfId="0" applyNumberFormat="1" applyFont="1" applyFill="1" applyBorder="1"/>
    <xf numFmtId="164" fontId="9" fillId="15" borderId="0" xfId="0" applyNumberFormat="1" applyFont="1" applyFill="1"/>
    <xf numFmtId="169" fontId="8" fillId="15" borderId="15" xfId="13" applyNumberFormat="1" applyFont="1" applyFill="1" applyBorder="1"/>
    <xf numFmtId="169" fontId="8" fillId="15" borderId="15" xfId="13" applyNumberFormat="1" applyFont="1" applyFill="1" applyBorder="1" applyAlignment="1">
      <alignment horizontal="right"/>
    </xf>
    <xf numFmtId="170" fontId="9" fillId="15" borderId="15" xfId="13" applyNumberFormat="1" applyFont="1" applyFill="1" applyBorder="1" applyAlignment="1">
      <alignment horizontal="right"/>
    </xf>
    <xf numFmtId="169" fontId="9" fillId="15" borderId="12" xfId="13" applyNumberFormat="1" applyFont="1" applyFill="1" applyBorder="1" applyAlignment="1">
      <alignment horizontal="right"/>
    </xf>
    <xf numFmtId="0" fontId="8" fillId="15" borderId="22" xfId="0" applyFont="1" applyFill="1" applyBorder="1"/>
    <xf numFmtId="169" fontId="8" fillId="15" borderId="15" xfId="2" applyNumberFormat="1" applyFont="1" applyFill="1" applyBorder="1" applyAlignment="1">
      <alignment horizontal="right"/>
    </xf>
    <xf numFmtId="164" fontId="13" fillId="15" borderId="12" xfId="0" applyNumberFormat="1" applyFont="1" applyFill="1" applyBorder="1"/>
    <xf numFmtId="0" fontId="8" fillId="15" borderId="9" xfId="0" applyFont="1" applyFill="1" applyBorder="1"/>
    <xf numFmtId="0" fontId="30" fillId="3" borderId="15" xfId="0" applyFont="1" applyFill="1" applyBorder="1" applyAlignment="1">
      <alignment horizontal="center"/>
    </xf>
    <xf numFmtId="0" fontId="7" fillId="3" borderId="15" xfId="0" applyFont="1" applyFill="1" applyBorder="1" applyAlignment="1">
      <alignment horizontal="center"/>
    </xf>
    <xf numFmtId="164" fontId="8" fillId="15" borderId="20" xfId="0" applyNumberFormat="1" applyFont="1" applyFill="1" applyBorder="1" applyAlignment="1">
      <alignment horizontal="right"/>
    </xf>
    <xf numFmtId="164" fontId="8" fillId="15" borderId="6" xfId="0" applyNumberFormat="1" applyFont="1" applyFill="1" applyBorder="1" applyAlignment="1">
      <alignment horizontal="right"/>
    </xf>
    <xf numFmtId="164" fontId="8" fillId="15" borderId="12" xfId="0" applyNumberFormat="1" applyFont="1" applyFill="1" applyBorder="1" applyAlignment="1">
      <alignment horizontal="right"/>
    </xf>
    <xf numFmtId="10" fontId="8" fillId="15" borderId="5" xfId="8" applyNumberFormat="1" applyFont="1" applyFill="1" applyBorder="1" applyAlignment="1">
      <alignment horizontal="right"/>
    </xf>
    <xf numFmtId="10" fontId="8" fillId="15" borderId="6" xfId="8" applyNumberFormat="1" applyFont="1" applyFill="1" applyBorder="1" applyAlignment="1">
      <alignment horizontal="right"/>
    </xf>
    <xf numFmtId="10" fontId="8" fillId="15" borderId="13" xfId="8" applyNumberFormat="1" applyFont="1" applyFill="1" applyBorder="1" applyAlignment="1">
      <alignment horizontal="right"/>
    </xf>
    <xf numFmtId="169" fontId="8" fillId="15" borderId="5" xfId="0" applyNumberFormat="1" applyFont="1" applyFill="1" applyBorder="1" applyAlignment="1">
      <alignment horizontal="right"/>
    </xf>
    <xf numFmtId="169" fontId="8" fillId="15" borderId="6" xfId="0" applyNumberFormat="1" applyFont="1" applyFill="1" applyBorder="1" applyAlignment="1">
      <alignment horizontal="right"/>
    </xf>
    <xf numFmtId="169" fontId="8" fillId="15" borderId="13" xfId="0" applyNumberFormat="1" applyFont="1" applyFill="1" applyBorder="1" applyAlignment="1">
      <alignment horizontal="right"/>
    </xf>
    <xf numFmtId="169" fontId="8" fillId="15" borderId="20" xfId="7" applyNumberFormat="1" applyFont="1" applyFill="1" applyBorder="1" applyAlignment="1">
      <alignment horizontal="right"/>
    </xf>
    <xf numFmtId="169" fontId="8" fillId="15" borderId="6" xfId="7" applyNumberFormat="1" applyFont="1" applyFill="1" applyBorder="1" applyAlignment="1">
      <alignment horizontal="right"/>
    </xf>
    <xf numFmtId="169" fontId="8" fillId="15" borderId="21" xfId="7" applyNumberFormat="1" applyFont="1" applyFill="1" applyBorder="1" applyAlignment="1">
      <alignment horizontal="right"/>
    </xf>
    <xf numFmtId="10" fontId="9" fillId="15" borderId="0" xfId="0" applyNumberFormat="1" applyFont="1" applyFill="1" applyAlignment="1">
      <alignment horizontal="right"/>
    </xf>
    <xf numFmtId="0" fontId="8" fillId="15" borderId="22" xfId="0" applyFont="1" applyFill="1" applyBorder="1" applyAlignment="1">
      <alignment horizontal="right"/>
    </xf>
    <xf numFmtId="169" fontId="8" fillId="0" borderId="20" xfId="0" applyNumberFormat="1" applyFont="1" applyBorder="1" applyAlignment="1">
      <alignment horizontal="right"/>
    </xf>
    <xf numFmtId="169" fontId="8" fillId="0" borderId="12" xfId="0" applyNumberFormat="1" applyFont="1" applyBorder="1" applyAlignment="1">
      <alignment horizontal="right"/>
    </xf>
    <xf numFmtId="10" fontId="9" fillId="0" borderId="13" xfId="8" applyNumberFormat="1" applyFont="1" applyBorder="1" applyAlignment="1">
      <alignment horizontal="right"/>
    </xf>
    <xf numFmtId="10" fontId="8" fillId="2" borderId="32" xfId="8" applyNumberFormat="1" applyFont="1" applyFill="1" applyBorder="1"/>
    <xf numFmtId="2" fontId="0" fillId="6" borderId="0" xfId="0" applyNumberFormat="1" applyFill="1"/>
    <xf numFmtId="0" fontId="3" fillId="6" borderId="0" xfId="0" applyFont="1" applyFill="1"/>
    <xf numFmtId="0" fontId="77" fillId="0" borderId="2" xfId="0" applyFont="1" applyBorder="1"/>
    <xf numFmtId="4" fontId="8" fillId="8" borderId="15" xfId="0" applyNumberFormat="1" applyFont="1" applyFill="1" applyBorder="1"/>
    <xf numFmtId="164" fontId="8" fillId="45" borderId="15" xfId="6" applyNumberFormat="1" applyFont="1" applyFill="1" applyBorder="1"/>
    <xf numFmtId="164" fontId="9" fillId="45" borderId="13" xfId="3" applyNumberFormat="1" applyFont="1" applyFill="1" applyBorder="1"/>
    <xf numFmtId="164" fontId="12" fillId="45" borderId="6" xfId="0" applyNumberFormat="1" applyFont="1" applyFill="1" applyBorder="1"/>
    <xf numFmtId="164" fontId="8" fillId="45" borderId="6" xfId="0" applyNumberFormat="1" applyFont="1" applyFill="1" applyBorder="1"/>
    <xf numFmtId="164" fontId="12" fillId="45" borderId="21" xfId="0" applyNumberFormat="1" applyFont="1" applyFill="1" applyBorder="1"/>
    <xf numFmtId="164" fontId="8" fillId="45" borderId="15" xfId="0" applyNumberFormat="1" applyFont="1" applyFill="1" applyBorder="1"/>
    <xf numFmtId="10" fontId="78" fillId="3" borderId="23" xfId="0" applyNumberFormat="1" applyFont="1" applyFill="1" applyBorder="1" applyAlignment="1">
      <alignment horizontal="right"/>
    </xf>
    <xf numFmtId="4" fontId="23" fillId="6" borderId="15" xfId="10" applyNumberFormat="1" applyFont="1" applyFill="1" applyBorder="1"/>
    <xf numFmtId="4" fontId="23" fillId="14" borderId="15" xfId="10" applyNumberFormat="1" applyFont="1" applyFill="1" applyBorder="1"/>
    <xf numFmtId="4" fontId="23" fillId="11" borderId="15" xfId="10" applyNumberFormat="1" applyFont="1" applyFill="1" applyBorder="1"/>
    <xf numFmtId="4" fontId="23" fillId="12" borderId="15" xfId="10" applyNumberFormat="1" applyFont="1" applyFill="1" applyBorder="1"/>
    <xf numFmtId="164" fontId="9" fillId="0" borderId="15" xfId="4" applyNumberFormat="1" applyFont="1" applyFill="1" applyBorder="1"/>
    <xf numFmtId="164" fontId="9" fillId="0" borderId="15" xfId="4" applyNumberFormat="1" applyFont="1" applyBorder="1"/>
  </cellXfs>
  <cellStyles count="792">
    <cellStyle name="20% - Accent1 2" xfId="236" xr:uid="{427F3339-262D-457B-B9AA-7B63E1D25489}"/>
    <cellStyle name="20% - Accent1 3" xfId="749" xr:uid="{735DE4C1-CDC5-449C-95F2-13246AA45429}"/>
    <cellStyle name="20% - Accent1 4" xfId="21" xr:uid="{4DCB723F-B93B-4CC6-A50F-B16BF90C34A5}"/>
    <cellStyle name="20% - Accent2 2" xfId="237" xr:uid="{E4005E78-9CA0-42B8-B94A-C3DB12CA085D}"/>
    <cellStyle name="20% - Accent2 3" xfId="750" xr:uid="{3F92DDF2-6CEF-4485-A173-AEB164F4709C}"/>
    <cellStyle name="20% - Accent2 4" xfId="22" xr:uid="{EE861163-5902-4E96-BF02-913CC9A1A634}"/>
    <cellStyle name="20% - Accent3 2" xfId="238" xr:uid="{58EC1105-AE0B-4E63-904D-E70A0631916B}"/>
    <cellStyle name="20% - Accent3 3" xfId="751" xr:uid="{876B7344-1EBB-4BD1-AE3B-79179D280FC6}"/>
    <cellStyle name="20% - Accent3 4" xfId="23" xr:uid="{2A9A7B51-6B3F-4814-8157-32F8938208E5}"/>
    <cellStyle name="20% - Accent4 2" xfId="239" xr:uid="{8BD11561-989F-4BD9-A278-261B518296B2}"/>
    <cellStyle name="20% - Accent4 3" xfId="752" xr:uid="{7FC6C0F1-C896-41F5-A141-D0A6BB830F33}"/>
    <cellStyle name="20% - Accent4 4" xfId="24" xr:uid="{13DD43F6-6F32-42AD-B3B0-47E04C96560D}"/>
    <cellStyle name="20% - Accent5 2" xfId="240" xr:uid="{2163CAC7-56C5-4A40-9F01-BF548B119532}"/>
    <cellStyle name="20% - Accent5 3" xfId="753" xr:uid="{312CB5A8-5826-48ED-A541-679031FF632F}"/>
    <cellStyle name="20% - Accent5 4" xfId="25" xr:uid="{04FDF1E4-D63D-4C8B-AE7B-FC529360CCB1}"/>
    <cellStyle name="20% - Accent6 2" xfId="241" xr:uid="{E731BEAE-DDCC-495B-B2A4-0A67CC13ACA2}"/>
    <cellStyle name="20% - Accent6 3" xfId="754" xr:uid="{C93107FD-279B-4C36-9BE2-70F519846247}"/>
    <cellStyle name="20% - Accent6 4" xfId="26" xr:uid="{36CC7A6E-2FDC-4727-B1D3-CFA266358C9D}"/>
    <cellStyle name="40% - Accent1 2" xfId="242" xr:uid="{C0083A31-6529-4897-A43F-E259143D499C}"/>
    <cellStyle name="40% - Accent1 3" xfId="755" xr:uid="{20272F3B-9C4E-4D42-8D57-E541D6968232}"/>
    <cellStyle name="40% - Accent1 4" xfId="27" xr:uid="{AFABC0DF-A973-4054-9EA8-CF6A069B23D9}"/>
    <cellStyle name="40% - Accent2 2" xfId="243" xr:uid="{2C38B690-B4D6-445D-B0E6-FA9B524E94F9}"/>
    <cellStyle name="40% - Accent2 3" xfId="756" xr:uid="{5B77F732-BD81-476C-AC46-CF1A91838C7E}"/>
    <cellStyle name="40% - Accent2 4" xfId="28" xr:uid="{E29F2FCB-355E-44C1-A85E-E98261B6CB51}"/>
    <cellStyle name="40% - Accent3 2" xfId="244" xr:uid="{8638146F-9C50-4835-A660-86B8556E7E9E}"/>
    <cellStyle name="40% - Accent3 3" xfId="757" xr:uid="{46001B0E-60F5-4F52-A1F9-C0FC639BD820}"/>
    <cellStyle name="40% - Accent3 4" xfId="29" xr:uid="{BFC32783-3766-413A-B072-A7AD28481835}"/>
    <cellStyle name="40% - Accent4 2" xfId="245" xr:uid="{22D50372-8F67-4977-9A9B-9720E69FD83D}"/>
    <cellStyle name="40% - Accent4 3" xfId="758" xr:uid="{9040571E-78F1-4A1A-A6E2-7607AD74C075}"/>
    <cellStyle name="40% - Accent4 4" xfId="30" xr:uid="{E2ACE48C-D819-4751-82F3-191843313A17}"/>
    <cellStyle name="40% - Accent5 2" xfId="246" xr:uid="{36247234-26E2-4E31-A17F-8DB1B0EFD94D}"/>
    <cellStyle name="40% - Accent5 3" xfId="759" xr:uid="{E6DCE746-A26E-4D09-888D-0FCF8976705C}"/>
    <cellStyle name="40% - Accent5 4" xfId="31" xr:uid="{DB2A23F0-20FA-49D1-946B-022E1FF5B4C3}"/>
    <cellStyle name="40% - Accent6 2" xfId="247" xr:uid="{90194035-53FE-41EE-B918-7292D5D70AEC}"/>
    <cellStyle name="40% - Accent6 3" xfId="760" xr:uid="{9267C48A-4ED1-4526-B446-42A9F20076F4}"/>
    <cellStyle name="40% - Accent6 4" xfId="32" xr:uid="{D0A9ED79-B97A-4AE2-943D-044DF6B4DC63}"/>
    <cellStyle name="60% - Accent1 2" xfId="248" xr:uid="{7A96060B-412C-4E79-B644-6C4FD153C5FA}"/>
    <cellStyle name="60% - Accent1 3" xfId="761" xr:uid="{A05646E9-69C9-4200-8608-A4395646EF4C}"/>
    <cellStyle name="60% - Accent1 4" xfId="33" xr:uid="{0B2CB412-A9CD-41A7-8DA1-7186A2A90570}"/>
    <cellStyle name="60% - Accent2 2" xfId="249" xr:uid="{F6601245-51E2-4F4D-9368-25348A756008}"/>
    <cellStyle name="60% - Accent2 3" xfId="762" xr:uid="{93DFC8E0-BA85-4B00-8761-C6566EE872ED}"/>
    <cellStyle name="60% - Accent2 4" xfId="34" xr:uid="{690B5272-E748-42B7-9AAB-78D1EEAB76A5}"/>
    <cellStyle name="60% - Accent3 2" xfId="250" xr:uid="{762EF462-A122-4288-BE0D-AA1A5BB33583}"/>
    <cellStyle name="60% - Accent3 3" xfId="763" xr:uid="{C62E27B2-9163-4ACE-8287-CE1ED483AB46}"/>
    <cellStyle name="60% - Accent3 4" xfId="35" xr:uid="{6B5C517C-1BB5-453B-8269-2E986AB81841}"/>
    <cellStyle name="60% - Accent4 2" xfId="251" xr:uid="{4D411DE1-6131-4BD5-A345-E74FE2755C76}"/>
    <cellStyle name="60% - Accent4 3" xfId="764" xr:uid="{EC23ED9E-2885-4BF9-ADE9-7152D782E19F}"/>
    <cellStyle name="60% - Accent4 4" xfId="36" xr:uid="{C03ECA90-53F6-4B46-B53D-1450D777C82F}"/>
    <cellStyle name="60% - Accent5 2" xfId="252" xr:uid="{C7D77B16-5CFA-43AD-8D8A-A6F9881BDEA5}"/>
    <cellStyle name="60% - Accent5 3" xfId="765" xr:uid="{AA31590F-06D9-41F8-A00C-84E9D9ADB68B}"/>
    <cellStyle name="60% - Accent5 4" xfId="37" xr:uid="{44DCC123-3C73-4E0B-9654-8A16C0089FF4}"/>
    <cellStyle name="60% - Accent6 2" xfId="253" xr:uid="{66211204-131C-48DD-801F-4FF5F6232783}"/>
    <cellStyle name="60% - Accent6 3" xfId="766" xr:uid="{921A303E-B8C5-4A75-922F-4062F9E22573}"/>
    <cellStyle name="60% - Accent6 4" xfId="38" xr:uid="{D0C909B8-73C5-454F-A9B2-6C829BACAB31}"/>
    <cellStyle name="Accent1 2" xfId="254" xr:uid="{26E39391-1720-43DE-87EA-FA81A36F7950}"/>
    <cellStyle name="Accent1 3" xfId="767" xr:uid="{D32F273D-B639-4288-B447-6D881F1128C7}"/>
    <cellStyle name="Accent1 4" xfId="39" xr:uid="{1D983902-548E-4196-BB33-468C5E57DF04}"/>
    <cellStyle name="Accent2 2" xfId="255" xr:uid="{295E139A-B3D6-4847-ADCE-256EA881F11A}"/>
    <cellStyle name="Accent2 3" xfId="768" xr:uid="{4C7FE708-DF7D-4FD1-909D-27F3EC8C8CF9}"/>
    <cellStyle name="Accent2 4" xfId="40" xr:uid="{FEB30541-43FB-49C4-9A67-7A0EE19039B3}"/>
    <cellStyle name="Accent3 2" xfId="256" xr:uid="{6D1E79D8-EB3D-4B5A-9D36-DEB48288690E}"/>
    <cellStyle name="Accent3 3" xfId="769" xr:uid="{5C3F06AA-7DBE-4D5D-BCB5-BA3F733E98A7}"/>
    <cellStyle name="Accent3 4" xfId="41" xr:uid="{352FC140-61C0-46D6-97A2-89AC5549E988}"/>
    <cellStyle name="Accent4 2" xfId="257" xr:uid="{39B331F1-0373-4500-87A8-29E15FAE5929}"/>
    <cellStyle name="Accent4 3" xfId="770" xr:uid="{4B50A92E-4CCF-4FE9-A988-0420DC933863}"/>
    <cellStyle name="Accent4 4" xfId="42" xr:uid="{01A9F8FA-1855-4B4E-A7E9-CAED1ECECF2F}"/>
    <cellStyle name="Accent5 2" xfId="258" xr:uid="{4E0C8B05-5C7F-47FB-80CC-F327AF8988DE}"/>
    <cellStyle name="Accent5 3" xfId="771" xr:uid="{70AEE2EC-A354-4799-AB20-8EB5864E122C}"/>
    <cellStyle name="Accent5 4" xfId="43" xr:uid="{72A7337D-A38D-4084-B5F2-9B521E4FFB0C}"/>
    <cellStyle name="Accent6 2" xfId="259" xr:uid="{F51078AC-C796-458C-AC01-454D4F294A9E}"/>
    <cellStyle name="Accent6 3" xfId="772" xr:uid="{CC02767F-8C33-40D6-A5B9-533B9D9418F9}"/>
    <cellStyle name="Accent6 4" xfId="44" xr:uid="{79C415DC-3AB7-4DAA-8B71-D50A0291A00D}"/>
    <cellStyle name="Bad 2" xfId="260" xr:uid="{D9C071EB-A8C0-4298-AABC-4C49D39800AD}"/>
    <cellStyle name="Bad 3" xfId="773" xr:uid="{EBDCEEED-6E79-4771-A0EC-88D1E45764EA}"/>
    <cellStyle name="Bad 4" xfId="45" xr:uid="{42B293A1-6E1E-42B1-8C2F-EA2671510A17}"/>
    <cellStyle name="Calculation 2" xfId="261" xr:uid="{AA1A1AAE-A604-4E38-B463-DF7F9EAFFA7F}"/>
    <cellStyle name="Calculation 2 2" xfId="417" xr:uid="{6C83EAD3-8923-49B2-B022-DC41113CBA87}"/>
    <cellStyle name="Calculation 2 3" xfId="476" xr:uid="{CBD99071-EFDC-431F-9153-7EC66E0E0B30}"/>
    <cellStyle name="Calculation 2 4" xfId="585" xr:uid="{42E6BA1C-0782-49CD-B3BF-F96415574C12}"/>
    <cellStyle name="Calculation 3" xfId="774" xr:uid="{101BE475-004C-40D6-8A9C-71B288DE96E3}"/>
    <cellStyle name="Calculation 4" xfId="46" xr:uid="{9F15C38C-B9B3-4B4C-8A54-2C83EBC7AB04}"/>
    <cellStyle name="Check Cell 2" xfId="262" xr:uid="{EF039274-B2C1-430E-A149-1A8FC80BFF72}"/>
    <cellStyle name="Check Cell 3" xfId="775" xr:uid="{A2312F22-9ADF-45CA-8C8A-4C51EEDD932B}"/>
    <cellStyle name="Check Cell 4" xfId="47" xr:uid="{181000A8-0483-4685-8602-2B0A5EAF8C6A}"/>
    <cellStyle name="Comma" xfId="14" builtinId="3"/>
    <cellStyle name="Comma 2" xfId="15" xr:uid="{B1BF2883-A612-4046-AAEE-0767BED23E6D}"/>
    <cellStyle name="Dezimal_Capital Input Data" xfId="1" xr:uid="{00000000-0005-0000-0000-000000000000}"/>
    <cellStyle name="Dezimal_Capital stock" xfId="13" xr:uid="{84CDB5D3-C913-43C2-A811-8007AD074D12}"/>
    <cellStyle name="Dezimal_Cost of Capital" xfId="2" xr:uid="{00000000-0005-0000-0000-000001000000}"/>
    <cellStyle name="Dezimal_Labor Q&amp;P" xfId="3" xr:uid="{00000000-0005-0000-0000-000002000000}"/>
    <cellStyle name="Dezimal_Outputs" xfId="4" xr:uid="{00000000-0005-0000-0000-000003000000}"/>
    <cellStyle name="Dezimal_Price Indices" xfId="5" xr:uid="{00000000-0005-0000-0000-000004000000}"/>
    <cellStyle name="Dezimal_Sheet1" xfId="6" xr:uid="{00000000-0005-0000-0000-000005000000}"/>
    <cellStyle name="Dezimal_X&amp;Z Factor" xfId="7" xr:uid="{00000000-0005-0000-0000-000006000000}"/>
    <cellStyle name="Excel Built-in Excel Built-in Normal 10 2" xfId="789" xr:uid="{CC115973-913A-4174-9EBA-4984E5C1AC29}"/>
    <cellStyle name="Excel Built-in Excel Built-in Normal 2 10 2" xfId="790" xr:uid="{39792233-78B3-4EC7-9732-AE36D879AE4D}"/>
    <cellStyle name="Excel Built-in Normal" xfId="19" xr:uid="{DA640E23-97FB-4626-8077-3CD4F56AF079}"/>
    <cellStyle name="Excel Built-in Normal 1" xfId="747" xr:uid="{BD0FB799-EB6D-411E-B453-24FD2C9CB5E1}"/>
    <cellStyle name="Explanatory Text 2" xfId="263" xr:uid="{7343F6C6-5523-4FEB-AA88-7CC511456183}"/>
    <cellStyle name="Explanatory Text 3" xfId="776" xr:uid="{E5E73252-A419-4860-98B7-C35F4A6ED2CC}"/>
    <cellStyle name="Explanatory Text 4" xfId="48" xr:uid="{026A9AC6-FB8A-484B-BCB0-2B45C1305A83}"/>
    <cellStyle name="Good 2" xfId="264" xr:uid="{0903E8F5-26C9-4FC1-8187-27A73712B10B}"/>
    <cellStyle name="Good 3" xfId="777" xr:uid="{0DD9CDA7-CDA1-4DCF-969F-E7C0C548E969}"/>
    <cellStyle name="Good 4" xfId="49" xr:uid="{CE24143A-1C26-458B-84A8-4ED8286A471D}"/>
    <cellStyle name="Heading 1 2" xfId="265" xr:uid="{E5083699-74A8-4C37-864B-57D8653177E9}"/>
    <cellStyle name="Heading 1 3" xfId="778" xr:uid="{10591D16-4D33-4E44-9BB7-983EF505BAE9}"/>
    <cellStyle name="Heading 1 4" xfId="50" xr:uid="{E42ED639-597A-4ABC-96A6-CCA41549C5A0}"/>
    <cellStyle name="Heading 2 2" xfId="266" xr:uid="{258EED0F-28AF-421C-A547-E6C25A5719D0}"/>
    <cellStyle name="Heading 2 3" xfId="779" xr:uid="{65A6A0CC-02FB-4884-B55F-7F3727C14650}"/>
    <cellStyle name="Heading 2 4" xfId="51" xr:uid="{17C11CA1-195A-4D3A-820E-73641974CD10}"/>
    <cellStyle name="Heading 3 2" xfId="267" xr:uid="{7DE04659-6C9D-4938-9641-D41BD4B23B52}"/>
    <cellStyle name="Heading 3 3" xfId="780" xr:uid="{3947882A-34CD-4B4C-9840-A2AB912A816A}"/>
    <cellStyle name="Heading 3 4" xfId="52" xr:uid="{6CCD1EB8-10FC-4E84-B8BF-E33A135C7C0B}"/>
    <cellStyle name="Heading 4 2" xfId="268" xr:uid="{A8C7D41D-6665-4798-9BA8-4E609D67296C}"/>
    <cellStyle name="Heading 4 3" xfId="781" xr:uid="{0D019C99-7811-48F5-B2F9-4C6A253EF9A8}"/>
    <cellStyle name="Heading 4 4" xfId="53" xr:uid="{DF641802-AB84-47BB-8F8A-BF043DF13693}"/>
    <cellStyle name="Hyperlink 2" xfId="55" xr:uid="{F1D6EAC2-E0FE-4707-A624-699C510D4177}"/>
    <cellStyle name="Hyperlink 2 10" xfId="99" xr:uid="{61D7F3AB-1B7C-4426-B0C1-F5B9E30E4FAF}"/>
    <cellStyle name="Hyperlink 2 11" xfId="100" xr:uid="{5F095DA6-9A48-40BD-A619-325C0251C527}"/>
    <cellStyle name="Hyperlink 2 12" xfId="104" xr:uid="{849D03A5-4CA6-4444-AB73-859C437BF00D}"/>
    <cellStyle name="Hyperlink 2 13" xfId="111" xr:uid="{EA345EE2-69EE-489C-9776-21D1529D0B4E}"/>
    <cellStyle name="Hyperlink 2 14" xfId="112" xr:uid="{EAD54DE8-4A9A-4B31-B88C-684E6F870391}"/>
    <cellStyle name="Hyperlink 2 15" xfId="120" xr:uid="{A93F6EB6-9E69-40BF-A0FC-F0DA65F79ABA}"/>
    <cellStyle name="Hyperlink 2 16" xfId="123" xr:uid="{A33DFA07-1506-4442-86A0-0D93AB662F54}"/>
    <cellStyle name="Hyperlink 2 17" xfId="124" xr:uid="{D0481F72-4067-44DB-A362-95DFAD4F20A2}"/>
    <cellStyle name="Hyperlink 2 18" xfId="132" xr:uid="{6232C995-8D00-4964-A3AF-3C26746708EE}"/>
    <cellStyle name="Hyperlink 2 19" xfId="135" xr:uid="{8D76E42E-4C47-4588-81CC-C75D6412393B}"/>
    <cellStyle name="Hyperlink 2 2" xfId="72" xr:uid="{1035DF5A-F700-4063-B137-DA8EDBDB8E2F}"/>
    <cellStyle name="Hyperlink 2 20" xfId="136" xr:uid="{050A6266-A155-4F64-BCEF-752744F15D09}"/>
    <cellStyle name="Hyperlink 2 21" xfId="140" xr:uid="{7C735285-7178-4CB0-BA6E-B50525F2A4FC}"/>
    <cellStyle name="Hyperlink 2 22" xfId="144" xr:uid="{F376D930-A8AD-42E8-9CBD-08FC5FA8039B}"/>
    <cellStyle name="Hyperlink 2 23" xfId="151" xr:uid="{9E58B7FD-5258-48A8-9B05-C6EA3C354F8A}"/>
    <cellStyle name="Hyperlink 2 24" xfId="152" xr:uid="{0C980F7C-AF8A-4138-8BF1-A67B376957AB}"/>
    <cellStyle name="Hyperlink 2 25" xfId="156" xr:uid="{0DF53692-75A6-4940-A79D-0FF77B54375C}"/>
    <cellStyle name="Hyperlink 2 26" xfId="160" xr:uid="{85E42480-95C0-4102-82C2-4825FF5C49F5}"/>
    <cellStyle name="Hyperlink 2 27" xfId="164" xr:uid="{02A5A7B7-FAAF-48B7-93FA-01D66C3E6D91}"/>
    <cellStyle name="Hyperlink 2 28" xfId="171" xr:uid="{A69CEC1C-16D9-4078-8988-32E09D5B7137}"/>
    <cellStyle name="Hyperlink 2 29" xfId="172" xr:uid="{763EE63B-34FB-4E52-85E7-DF81F96DA7D4}"/>
    <cellStyle name="Hyperlink 2 3" xfId="73" xr:uid="{B340ABA2-65BC-4234-BEA4-D1205248F651}"/>
    <cellStyle name="Hyperlink 2 30" xfId="176" xr:uid="{C40613E1-979A-4C26-A316-74B482614018}"/>
    <cellStyle name="Hyperlink 2 31" xfId="180" xr:uid="{FBC8A7B5-08FD-4083-8C63-ABBCB50BD107}"/>
    <cellStyle name="Hyperlink 2 32" xfId="184" xr:uid="{6A2E58D5-8D7C-4521-9C10-47AD6F532F15}"/>
    <cellStyle name="Hyperlink 2 33" xfId="191" xr:uid="{3E163F4E-80F2-4020-87A4-648764A48844}"/>
    <cellStyle name="Hyperlink 2 34" xfId="192" xr:uid="{280C8144-C171-4EB4-9022-03B4AA341999}"/>
    <cellStyle name="Hyperlink 2 35" xfId="196" xr:uid="{272D2C4A-BA20-467E-ACA3-064E86612932}"/>
    <cellStyle name="Hyperlink 2 36" xfId="200" xr:uid="{E8A7C736-BBB2-49A3-8BC7-D4DF8CC30533}"/>
    <cellStyle name="Hyperlink 2 37" xfId="204" xr:uid="{83724B43-5370-4582-8CA8-B1983E52CCBE}"/>
    <cellStyle name="Hyperlink 2 38" xfId="210" xr:uid="{5E81C766-5247-444C-87A7-A4FC87EEA14B}"/>
    <cellStyle name="Hyperlink 2 39" xfId="214" xr:uid="{033EAF99-81B9-4C29-8180-B7EBED870C56}"/>
    <cellStyle name="Hyperlink 2 4" xfId="76" xr:uid="{4B040F15-E788-447F-8DB7-9B0DCAC0E9CF}"/>
    <cellStyle name="Hyperlink 2 40" xfId="219" xr:uid="{3E36A20B-25E7-4016-AD79-675AB56035DE}"/>
    <cellStyle name="Hyperlink 2 41" xfId="222" xr:uid="{80FD1D79-987D-494D-AAB7-C7889B6A0B9C}"/>
    <cellStyle name="Hyperlink 2 42" xfId="384" xr:uid="{E7CE492C-3EB5-42E3-979C-6B0BA303366B}"/>
    <cellStyle name="Hyperlink 2 43" xfId="557" xr:uid="{F6A57653-48E0-4292-8B5A-56D65391AE0B}"/>
    <cellStyle name="Hyperlink 2 5" xfId="79" xr:uid="{95C94E32-7059-452A-8091-319332CA4F41}"/>
    <cellStyle name="Hyperlink 2 6" xfId="82" xr:uid="{482BC62D-7464-4258-AE2C-3B92460B2ED1}"/>
    <cellStyle name="Hyperlink 2 7" xfId="88" xr:uid="{1F87EFE2-9AC9-421D-959F-1026D4FD8F8B}"/>
    <cellStyle name="Hyperlink 2 8" xfId="91" xr:uid="{0E5B7508-9667-46B6-B470-87FF131CBEAF}"/>
    <cellStyle name="Hyperlink 2 9" xfId="92" xr:uid="{324843DF-BB6A-4A58-B3C7-09412F18870B}"/>
    <cellStyle name="Hyperlink 3" xfId="54" xr:uid="{2EE482CF-341E-4ED5-A51E-DBEC7C5E3043}"/>
    <cellStyle name="Input 2" xfId="270" xr:uid="{94C905BB-D176-4139-8E18-A58C4FB74BD2}"/>
    <cellStyle name="Input 2 2" xfId="423" xr:uid="{EB3F8638-7595-49E2-9F44-51063D512CC5}"/>
    <cellStyle name="Input 2 3" xfId="422" xr:uid="{B8DB4076-CA28-4408-BE1F-02D2AD82EDFE}"/>
    <cellStyle name="Input 2 4" xfId="455" xr:uid="{14C5837F-749A-4AE2-A4C6-0B3F1A37DDB5}"/>
    <cellStyle name="Input 3" xfId="782" xr:uid="{5D8F834D-3D7C-46E6-A090-BC4F7B35A2A1}"/>
    <cellStyle name="Input 4" xfId="56" xr:uid="{BC06CDC1-91E3-4628-8FE3-588DC8916011}"/>
    <cellStyle name="Linked Cell 2" xfId="271" xr:uid="{1A8500B4-A3C0-48DB-BC2B-D8869E01F39C}"/>
    <cellStyle name="Linked Cell 3" xfId="783" xr:uid="{CE31041A-8ACD-4AF7-8DFF-82F83E6358DA}"/>
    <cellStyle name="Linked Cell 4" xfId="57" xr:uid="{BF0899F9-173F-4E76-8C33-EBDCCF567B23}"/>
    <cellStyle name="Neutral 2" xfId="272" xr:uid="{0DD70AC3-D1D3-40DB-B346-02D21F4AE63E}"/>
    <cellStyle name="Neutral 3" xfId="784" xr:uid="{02DBF927-E7AA-4FA1-A022-CDAF6733E54E}"/>
    <cellStyle name="Neutral 4" xfId="58" xr:uid="{546D2601-990F-4E27-ACCF-A208B79AF116}"/>
    <cellStyle name="Normal" xfId="0" builtinId="0"/>
    <cellStyle name="Normal 10" xfId="90" xr:uid="{A34DD6CF-A6E3-4466-9F57-3DFCE8F06942}"/>
    <cellStyle name="Normal 10 2" xfId="10" xr:uid="{00000000-0005-0000-0000-000008000000}"/>
    <cellStyle name="Normal 10 3" xfId="446" xr:uid="{22D6CB42-5FA9-4F0B-8115-3FBC45EA71A0}"/>
    <cellStyle name="Normal 10 4" xfId="353" xr:uid="{D6EC4F06-C3EA-458A-A982-3674D08F5255}"/>
    <cellStyle name="Normal 10 5" xfId="559" xr:uid="{FD5DF898-157F-41E1-A017-9333E4EE762F}"/>
    <cellStyle name="Normal 11" xfId="94" xr:uid="{2D31B72A-A57F-433E-9BF4-E5D7E507AE91}"/>
    <cellStyle name="Normal 11 2" xfId="300" xr:uid="{F5463966-8420-466F-B5A7-F3D38257DB17}"/>
    <cellStyle name="Normal 11 3" xfId="450" xr:uid="{C5B3FF32-FEDD-472E-A49C-771207F08398}"/>
    <cellStyle name="Normal 11 4" xfId="562" xr:uid="{587CEC5C-341E-41F9-AECF-EBDF80115AF5}"/>
    <cellStyle name="Normal 11 5" xfId="652" xr:uid="{4D84DBD7-CAA6-494D-B655-629213AD7FBF}"/>
    <cellStyle name="Normal 12" xfId="96" xr:uid="{65DBFE54-A282-47E6-A744-09F5E1474F3C}"/>
    <cellStyle name="Normal 12 2" xfId="301" xr:uid="{498D97AE-E566-47FB-AF06-3CC3753E64BB}"/>
    <cellStyle name="Normal 12 3" xfId="452" xr:uid="{06E15F8A-ED05-495A-80B9-9F45ED110217}"/>
    <cellStyle name="Normal 12 4" xfId="564" xr:uid="{C6B595C9-9D71-42B9-9AA7-0D66060218E1}"/>
    <cellStyle name="Normal 12 5" xfId="654" xr:uid="{A187F951-702D-4327-8DD0-0628C7FC934C}"/>
    <cellStyle name="Normal 13" xfId="102" xr:uid="{9D343980-A42B-40E7-A51C-2765F6ECD396}"/>
    <cellStyle name="Normal 13 2" xfId="306" xr:uid="{615E81CE-B7AC-4711-8770-DC417E9ED86B}"/>
    <cellStyle name="Normal 13 3" xfId="457" xr:uid="{574AD6BB-5BBA-4463-BC0F-79E0DC591A5B}"/>
    <cellStyle name="Normal 13 4" xfId="568" xr:uid="{5857E5DC-4DCD-4C1A-BE2D-7A9A75A8484D}"/>
    <cellStyle name="Normal 13 5" xfId="658" xr:uid="{AD3AF8AC-3BC0-4438-B1E0-115102359764}"/>
    <cellStyle name="Normal 14" xfId="106" xr:uid="{034F084F-CCB0-430D-B0E5-8154BCEED915}"/>
    <cellStyle name="Normal 14 2" xfId="310" xr:uid="{AB11816D-6146-41A2-ACF2-FFD755E765E7}"/>
    <cellStyle name="Normal 14 3" xfId="460" xr:uid="{0772A5D1-5BC3-4D56-A2CA-3686E56350A9}"/>
    <cellStyle name="Normal 14 4" xfId="571" xr:uid="{7609C71D-E0BF-45D3-BAAD-E7434B7BDBF0}"/>
    <cellStyle name="Normal 14 5" xfId="661" xr:uid="{C1DA15DC-8F09-40D7-8FB6-ABC86B18FC1B}"/>
    <cellStyle name="Normal 15" xfId="108" xr:uid="{F2EB46C9-D531-4E3E-B79F-0E204A9CBC3E}"/>
    <cellStyle name="Normal 15 2" xfId="312" xr:uid="{1B491223-6F23-4AC2-AC10-8DDEBCD89CDC}"/>
    <cellStyle name="Normal 15 3" xfId="462" xr:uid="{5A73C757-C6FA-486C-B1A9-EE71F5A39894}"/>
    <cellStyle name="Normal 15 4" xfId="573" xr:uid="{6E4093D0-B461-46D4-80D4-AF79261BEAAC}"/>
    <cellStyle name="Normal 15 5" xfId="663" xr:uid="{BFC804F0-7CD2-4F74-8249-EEA2A36DF665}"/>
    <cellStyle name="Normal 16" xfId="114" xr:uid="{12E7FB13-608B-4964-8EAF-4E14AFA79E67}"/>
    <cellStyle name="Normal 16 2" xfId="317" xr:uid="{6B6D2FBA-E398-47C1-9778-359AABB3DDEF}"/>
    <cellStyle name="Normal 16 3" xfId="467" xr:uid="{331CB475-F8D0-4F61-ADE6-393FB680D0A8}"/>
    <cellStyle name="Normal 16 4" xfId="577" xr:uid="{A358C9AE-F060-4196-9EA8-531788D35919}"/>
    <cellStyle name="Normal 16 5" xfId="667" xr:uid="{7E1056C7-B347-4A9E-8FAF-14FC6E137DF9}"/>
    <cellStyle name="Normal 17" xfId="116" xr:uid="{DDA28C1C-FB2D-4A19-B33E-77F4BAC36ED9}"/>
    <cellStyle name="Normal 17 2" xfId="319" xr:uid="{3BFDC289-1C31-4CED-BA96-998E8CFF27F5}"/>
    <cellStyle name="Normal 17 3" xfId="469" xr:uid="{EA529F1D-A4DC-4BD4-A6FF-CC80263119C6}"/>
    <cellStyle name="Normal 17 4" xfId="579" xr:uid="{770E0B13-37B7-497A-B11E-48D80179D307}"/>
    <cellStyle name="Normal 17 5" xfId="669" xr:uid="{075BB4C9-3396-4F2A-82CF-C7DA70F272A0}"/>
    <cellStyle name="Normal 18" xfId="122" xr:uid="{D9D282B0-3987-41DC-95FF-BE7149BBB839}"/>
    <cellStyle name="Normal 18 2" xfId="325" xr:uid="{7C10D02D-2A18-4807-99F7-6A53C7B1FA28}"/>
    <cellStyle name="Normal 18 3" xfId="474" xr:uid="{1C4CDBDD-589F-4C46-8076-156B6A58CE42}"/>
    <cellStyle name="Normal 18 4" xfId="584" xr:uid="{D1E48D24-A821-4B4A-A8E5-FC05B7C69303}"/>
    <cellStyle name="Normal 18 5" xfId="674" xr:uid="{2F62152D-98F9-49F6-8CB0-EBC38B8C81AD}"/>
    <cellStyle name="Normal 19" xfId="126" xr:uid="{4287306C-A305-4892-9CD5-E4A7DB4DBED9}"/>
    <cellStyle name="Normal 19 2" xfId="328" xr:uid="{45A402E5-DADC-4007-BA0F-6E5CB10A0DAD}"/>
    <cellStyle name="Normal 19 3" xfId="478" xr:uid="{64F3EFB2-EA27-47A1-9EA5-E39DD5CE8959}"/>
    <cellStyle name="Normal 19 4" xfId="587" xr:uid="{CAE29CD5-B9A9-43C9-B014-33A941B52546}"/>
    <cellStyle name="Normal 19 5" xfId="676" xr:uid="{8A13750B-52C7-4EEC-9DCC-91D04FCAF1EC}"/>
    <cellStyle name="Normal 2" xfId="11" xr:uid="{00000000-0005-0000-0000-000009000000}"/>
    <cellStyle name="Normal 2 10" xfId="95" xr:uid="{798171C4-4421-4246-AC1A-C14ADB52BA82}"/>
    <cellStyle name="Normal 2 10 2" xfId="18" xr:uid="{5E7CF06D-BC3F-4C2E-82D0-0F050DD69700}"/>
    <cellStyle name="Normal 2 10 3" xfId="451" xr:uid="{9083128C-5085-4018-8D71-5882E874C36A}"/>
    <cellStyle name="Normal 2 10 4" xfId="563" xr:uid="{472798DB-1344-4D44-B266-9688C2F1E096}"/>
    <cellStyle name="Normal 2 10 5" xfId="653" xr:uid="{01CE5506-155F-4026-853A-A689D8583B13}"/>
    <cellStyle name="Normal 2 11" xfId="97" xr:uid="{4EF4DB55-3118-4AEA-8EA1-BB12FCB0BEF8}"/>
    <cellStyle name="Normal 2 11 2" xfId="302" xr:uid="{B3471FBC-6A56-49E0-938F-425651083B8D}"/>
    <cellStyle name="Normal 2 11 3" xfId="453" xr:uid="{0FB7D689-21C3-41D1-81C6-A97F688B6143}"/>
    <cellStyle name="Normal 2 11 4" xfId="565" xr:uid="{E3F469B6-0012-4E7D-BBB9-93B22CEDBB8A}"/>
    <cellStyle name="Normal 2 11 5" xfId="655" xr:uid="{9E0B91C7-19B7-4E55-B8D9-6B58DC3A09AA}"/>
    <cellStyle name="Normal 2 12" xfId="103" xr:uid="{7FFF4E5C-8D65-465D-9676-DCC91ADC06D6}"/>
    <cellStyle name="Normal 2 12 2" xfId="307" xr:uid="{6085462E-5E50-4122-B988-FDCEAC1DCB74}"/>
    <cellStyle name="Normal 2 12 3" xfId="458" xr:uid="{A0311F9A-F7F0-41F6-BA7C-0DB87D823B1D}"/>
    <cellStyle name="Normal 2 12 4" xfId="569" xr:uid="{1A7AE27A-A8A6-4F7C-AD04-9B282D203B45}"/>
    <cellStyle name="Normal 2 12 5" xfId="659" xr:uid="{01BF11C3-8021-4AD0-860C-D9CC44EE2E41}"/>
    <cellStyle name="Normal 2 13" xfId="107" xr:uid="{7CDD3E6C-97FF-4F25-ADF6-746C1441C618}"/>
    <cellStyle name="Normal 2 13 2" xfId="311" xr:uid="{8B03FAE6-8C26-4522-BFE6-361326CB1068}"/>
    <cellStyle name="Normal 2 13 3" xfId="461" xr:uid="{6CAAC1FE-FFCA-4892-B1D8-A9E265B56A50}"/>
    <cellStyle name="Normal 2 13 4" xfId="572" xr:uid="{A3A826F3-18D4-4A83-9B47-7B5B6D00DF6E}"/>
    <cellStyle name="Normal 2 13 5" xfId="662" xr:uid="{EF1FF560-E1CA-4AE5-B836-4075370751D1}"/>
    <cellStyle name="Normal 2 14" xfId="109" xr:uid="{F079F773-5D52-45ED-803A-F86341A88D0D}"/>
    <cellStyle name="Normal 2 14 2" xfId="313" xr:uid="{D529B463-1EA6-4CD3-B647-248FE508FF00}"/>
    <cellStyle name="Normal 2 14 3" xfId="463" xr:uid="{E2A352B4-E934-4551-B8C5-4F72F6701A64}"/>
    <cellStyle name="Normal 2 14 4" xfId="574" xr:uid="{1E6BA21E-A0E5-46E9-9D7C-C815AB04EA07}"/>
    <cellStyle name="Normal 2 14 5" xfId="664" xr:uid="{734F4540-006F-446C-9885-FD449274C850}"/>
    <cellStyle name="Normal 2 15" xfId="115" xr:uid="{E4F9447A-2DED-4B4E-B843-9C6613694140}"/>
    <cellStyle name="Normal 2 15 2" xfId="318" xr:uid="{BBAB3058-3E74-4E4F-B2F9-44FE39505392}"/>
    <cellStyle name="Normal 2 15 3" xfId="468" xr:uid="{713D3C3D-6AA8-4B20-BE70-B6BDA4A50C30}"/>
    <cellStyle name="Normal 2 15 4" xfId="578" xr:uid="{FC947D4E-B184-4809-841C-BF3CC5BD12F5}"/>
    <cellStyle name="Normal 2 15 5" xfId="668" xr:uid="{BCB203F5-3681-4CCE-9A53-C75CCEAB70F8}"/>
    <cellStyle name="Normal 2 16" xfId="117" xr:uid="{2CEDBF8E-0846-4D98-839E-298CEEF6E4FA}"/>
    <cellStyle name="Normal 2 16 2" xfId="320" xr:uid="{B4B50FE2-A54B-4110-88D6-E295DBE2C074}"/>
    <cellStyle name="Normal 2 16 3" xfId="470" xr:uid="{1BC9691E-33FB-406C-8C1C-D93BAD0BF256}"/>
    <cellStyle name="Normal 2 16 4" xfId="580" xr:uid="{5AFF7CE9-77D2-405A-B59D-810A10D7F134}"/>
    <cellStyle name="Normal 2 16 5" xfId="670" xr:uid="{88001D14-B5CF-4576-BFE1-794D9FE6CEA1}"/>
    <cellStyle name="Normal 2 17" xfId="118" xr:uid="{E0AE11DC-C7AA-47F3-A8C1-E55DB0F1B515}"/>
    <cellStyle name="Normal 2 17 2" xfId="321" xr:uid="{CC673A30-AFDE-4273-A054-991A9838DCC7}"/>
    <cellStyle name="Normal 2 17 3" xfId="471" xr:uid="{B6E99BEE-335E-4C8E-8294-6657856B147E}"/>
    <cellStyle name="Normal 2 17 4" xfId="581" xr:uid="{4F4D3A02-FB9A-4CE1-BB0D-9B2750BEE5B6}"/>
    <cellStyle name="Normal 2 17 5" xfId="671" xr:uid="{BB460FDE-667B-4AFB-99CA-CA39DA18B17E}"/>
    <cellStyle name="Normal 2 18" xfId="127" xr:uid="{45CC2BFC-D42E-4753-B309-8BDE72053F0D}"/>
    <cellStyle name="Normal 2 18 2" xfId="329" xr:uid="{0BC959FD-C1D0-474D-B082-37D4791C7C55}"/>
    <cellStyle name="Normal 2 18 3" xfId="479" xr:uid="{541999DD-CB8B-48A6-8AA3-1AC879669F15}"/>
    <cellStyle name="Normal 2 18 4" xfId="588" xr:uid="{D1E91374-8959-4185-B900-F851FE200168}"/>
    <cellStyle name="Normal 2 18 5" xfId="677" xr:uid="{677BF91E-8250-4FA8-AED6-BCB937ACFD03}"/>
    <cellStyle name="Normal 2 19" xfId="129" xr:uid="{44191581-307A-4C8D-880C-A0A2F8B445C3}"/>
    <cellStyle name="Normal 2 19 2" xfId="331" xr:uid="{E6B39D0D-3423-4849-969A-907E544B0B50}"/>
    <cellStyle name="Normal 2 19 3" xfId="481" xr:uid="{58A69DDF-9492-419B-B573-0844EA4E6261}"/>
    <cellStyle name="Normal 2 19 4" xfId="590" xr:uid="{72A954C5-5954-4855-B87F-7F3DE64B1D3B}"/>
    <cellStyle name="Normal 2 19 5" xfId="679" xr:uid="{AF24759E-FD2A-4A12-A03E-72C0BAB7AF7F}"/>
    <cellStyle name="Normal 2 2" xfId="69" xr:uid="{57D70578-1216-4CB3-BF83-43462581B767}"/>
    <cellStyle name="Normal 2 2 2" xfId="70" xr:uid="{DD554821-0040-4000-836B-0E42B949F55E}"/>
    <cellStyle name="Normal 2 2 2 2" xfId="12" xr:uid="{00000000-0005-0000-0000-00000A000000}"/>
    <cellStyle name="Normal 2 2 2 2 2" xfId="282" xr:uid="{3ECEA384-7778-45BF-AF9C-A9CA9F5A1969}"/>
    <cellStyle name="Normal 2 2 2 2 3" xfId="433" xr:uid="{5DDA216C-2147-4F78-9E30-65EAAF11D152}"/>
    <cellStyle name="Normal 2 2 2 2 4" xfId="412" xr:uid="{21F18449-8DB3-4416-A0B4-B51FD714D50D}"/>
    <cellStyle name="Normal 2 2 2 2 5" xfId="502" xr:uid="{B34350FC-F2ED-4E98-A5B8-9B93DCB86BF2}"/>
    <cellStyle name="Normal 2 2 2 2 6" xfId="221" xr:uid="{EE34FDFB-8355-40F1-9FE6-B5D3552F2721}"/>
    <cellStyle name="Normal 2 2 2 3" xfId="297" xr:uid="{8A03AB68-BE35-4EF1-8215-8DDC62D5CDFA}"/>
    <cellStyle name="Normal 2 2 2 4" xfId="392" xr:uid="{BB75B34A-78F9-4B88-9457-7402216DFACB}"/>
    <cellStyle name="Normal 2 2 2 5" xfId="560" xr:uid="{8ECF1FAA-E1AB-4ECE-892E-1D68A88A7EEF}"/>
    <cellStyle name="Normal 2 2 3" xfId="211" xr:uid="{EDE6AA68-36BD-471A-84CB-A055687FE86C}"/>
    <cellStyle name="Normal 2 2 3 2" xfId="407" xr:uid="{FA4E6FD7-3D48-40B1-A733-7B7EDA6358BA}"/>
    <cellStyle name="Normal 2 2 4" xfId="215" xr:uid="{2D6D2A9B-78D8-42E6-8C3A-A28D2F433BD3}"/>
    <cellStyle name="Normal 2 2 4 2" xfId="410" xr:uid="{BFC8D2EF-5B37-4715-AC61-F9F355AE762B}"/>
    <cellStyle name="Normal 2 2 5" xfId="220" xr:uid="{ABB66237-09F9-4A20-B4E6-75AAAD734A46}"/>
    <cellStyle name="Normal 2 2 5 2" xfId="281" xr:uid="{1B0DC74B-FD9D-47A1-87B6-3E6450458BD9}"/>
    <cellStyle name="Normal 2 2 5 3" xfId="432" xr:uid="{E6F02754-2263-4BEC-BC12-26E5C5F0B6DF}"/>
    <cellStyle name="Normal 2 2 5 4" xfId="413" xr:uid="{E7C8BD38-A590-4802-91DB-AE381B4E3908}"/>
    <cellStyle name="Normal 2 2 5 5" xfId="495" xr:uid="{4DD10353-1515-47A5-9468-5C5AA11189AC}"/>
    <cellStyle name="Normal 2 2 6" xfId="298" xr:uid="{AB7E2EAF-1AF7-46B7-8C4F-8F837B10A9E0}"/>
    <cellStyle name="Normal 2 2 7" xfId="391" xr:uid="{BA0F51A6-1ED5-4E7D-88FE-DAB4EABF0EDC}"/>
    <cellStyle name="Normal 2 2 8" xfId="289" xr:uid="{64D109DD-EC54-466A-BE99-0AF8BAF77C0B}"/>
    <cellStyle name="Normal 2 20" xfId="128" xr:uid="{477C3264-6DB0-49E8-840D-42FB6BCAB37F}"/>
    <cellStyle name="Normal 2 20 2" xfId="330" xr:uid="{155E4EED-4FCB-42FD-9654-698563B988E9}"/>
    <cellStyle name="Normal 2 20 3" xfId="480" xr:uid="{DDE5324F-0B2C-4D88-96F3-25CAABA77F57}"/>
    <cellStyle name="Normal 2 20 4" xfId="589" xr:uid="{93058844-105B-421E-B4A9-43169752A016}"/>
    <cellStyle name="Normal 2 20 5" xfId="678" xr:uid="{FAA0F50E-6ED8-4416-B1BF-69DE0FEA6DDE}"/>
    <cellStyle name="Normal 2 21" xfId="139" xr:uid="{BD49E4F7-B0E0-473F-BC6A-2ADB38D41B21}"/>
    <cellStyle name="Normal 2 21 2" xfId="341" xr:uid="{54A0ABA6-8251-46DD-8D9B-80BA1194AD52}"/>
    <cellStyle name="Normal 2 21 3" xfId="491" xr:uid="{15DDD249-58AA-4D3E-BAE9-14219AE19754}"/>
    <cellStyle name="Normal 2 21 4" xfId="597" xr:uid="{6A0E0968-6B8A-4058-AC66-E91C805E218E}"/>
    <cellStyle name="Normal 2 21 5" xfId="686" xr:uid="{69E16F31-8E69-4D39-BEFC-C5A49F813B6E}"/>
    <cellStyle name="Normal 2 22" xfId="143" xr:uid="{3924D9E0-D247-4772-AB29-3826C5754F66}"/>
    <cellStyle name="Normal 2 22 2" xfId="345" xr:uid="{C5A4DDC6-FC09-41DB-97EF-F53312E5E55F}"/>
    <cellStyle name="Normal 2 22 3" xfId="494" xr:uid="{E95D5948-A5EA-420C-A474-1B97BE10DA7C}"/>
    <cellStyle name="Normal 2 22 4" xfId="600" xr:uid="{AA1E44A6-9E6A-41BF-AE65-EA431C1A7BD4}"/>
    <cellStyle name="Normal 2 22 5" xfId="689" xr:uid="{812A575D-9CC6-41DE-8DEF-EFFD5B100271}"/>
    <cellStyle name="Normal 2 23" xfId="147" xr:uid="{45436E1C-0E50-4BC6-9F5C-DC2EF5747FEA}"/>
    <cellStyle name="Normal 2 23 2" xfId="349" xr:uid="{6CEB0A9A-CD66-4E97-A282-321CAFB85780}"/>
    <cellStyle name="Normal 2 23 3" xfId="498" xr:uid="{FF5C3F85-A259-46C1-BBB5-EF8C6043A9AE}"/>
    <cellStyle name="Normal 2 23 4" xfId="603" xr:uid="{2CA70879-1A98-476E-B705-4D127F0F7EE4}"/>
    <cellStyle name="Normal 2 23 5" xfId="692" xr:uid="{EC16DF5A-33EE-4848-AB6C-F49BF0EC564A}"/>
    <cellStyle name="Normal 2 24" xfId="149" xr:uid="{4F8E99DA-A32B-4191-87A9-99E20C3AE6ED}"/>
    <cellStyle name="Normal 2 24 2" xfId="351" xr:uid="{7ED8BCE1-334A-446D-9425-54938F7DC96D}"/>
    <cellStyle name="Normal 2 24 3" xfId="500" xr:uid="{BCB405A2-647F-456F-83CD-889DA0447061}"/>
    <cellStyle name="Normal 2 24 4" xfId="605" xr:uid="{8428C210-CB22-41C6-84CB-2A8E2368E26C}"/>
    <cellStyle name="Normal 2 24 5" xfId="694" xr:uid="{23EBE3D5-156F-46A8-A325-C2F2BA4E8C3F}"/>
    <cellStyle name="Normal 2 25" xfId="155" xr:uid="{B607A88C-A2B9-480C-A069-3453EA7E613E}"/>
    <cellStyle name="Normal 2 25 2" xfId="357" xr:uid="{D5285C52-637C-480E-8119-5556ABA76AD3}"/>
    <cellStyle name="Normal 2 25 3" xfId="506" xr:uid="{98C60499-5A2D-49C2-9873-65DF875D3E38}"/>
    <cellStyle name="Normal 2 25 4" xfId="609" xr:uid="{D0D7C311-4981-46FD-9D4D-0A3805986A3D}"/>
    <cellStyle name="Normal 2 25 5" xfId="698" xr:uid="{6950665C-2A99-4BC0-88FD-9D219CCFA050}"/>
    <cellStyle name="Normal 2 26" xfId="159" xr:uid="{F6F8A705-0FC2-4FBD-A0D2-4F9E469A0EBD}"/>
    <cellStyle name="Normal 2 26 2" xfId="360" xr:uid="{24BD4B38-1964-4DC0-AE2A-71B5BB342A69}"/>
    <cellStyle name="Normal 2 26 3" xfId="509" xr:uid="{8C1334F8-D086-4E23-A058-F2D212E31350}"/>
    <cellStyle name="Normal 2 26 4" xfId="612" xr:uid="{BE6D716C-5B1C-4CB2-9782-0FE781F1D20B}"/>
    <cellStyle name="Normal 2 26 5" xfId="701" xr:uid="{75609C04-E18B-4D75-AB88-11E8CF953AF2}"/>
    <cellStyle name="Normal 2 27" xfId="163" xr:uid="{431B825B-1D27-4C3D-8E4E-30799B994316}"/>
    <cellStyle name="Normal 2 27 2" xfId="363" xr:uid="{3984B759-16AB-463D-A537-65D312C52640}"/>
    <cellStyle name="Normal 2 27 3" xfId="513" xr:uid="{12227B97-0414-4F0E-BCD1-6493B7E38B8A}"/>
    <cellStyle name="Normal 2 27 4" xfId="615" xr:uid="{AE4C3A44-6240-472F-89FD-0D78C1EC0150}"/>
    <cellStyle name="Normal 2 27 5" xfId="704" xr:uid="{F40B8F44-820F-4385-9899-02C55F423A8A}"/>
    <cellStyle name="Normal 2 28" xfId="167" xr:uid="{53017D6E-8725-45F1-B26D-6A7F13210EE1}"/>
    <cellStyle name="Normal 2 28 2" xfId="367" xr:uid="{4A663A50-EA7A-40CB-876A-86E7A9C5A06B}"/>
    <cellStyle name="Normal 2 28 3" xfId="516" xr:uid="{37FBF795-7E4E-467A-A870-B569A25000A4}"/>
    <cellStyle name="Normal 2 28 4" xfId="618" xr:uid="{C8C3CA86-4C9E-480F-8262-B54CD114B8BC}"/>
    <cellStyle name="Normal 2 28 5" xfId="707" xr:uid="{674FC8A9-2745-4135-B403-04E403531E8A}"/>
    <cellStyle name="Normal 2 29" xfId="169" xr:uid="{FE24BF57-DA2B-4D80-9431-B52153844F73}"/>
    <cellStyle name="Normal 2 29 2" xfId="369" xr:uid="{4AC1C575-B966-42AA-A689-44FA53D7B187}"/>
    <cellStyle name="Normal 2 29 3" xfId="518" xr:uid="{CDE659B0-9078-4DC6-BFDB-56EC962274EF}"/>
    <cellStyle name="Normal 2 29 4" xfId="620" xr:uid="{CF7DED27-64FB-4FB9-A837-A80ABAA660F5}"/>
    <cellStyle name="Normal 2 29 5" xfId="709" xr:uid="{24942049-2B76-4A39-A09B-58D177CDCA6C}"/>
    <cellStyle name="Normal 2 3" xfId="68" xr:uid="{1BA7F56B-8F0A-496B-90E8-416D35BE3771}"/>
    <cellStyle name="Normal 2 3 2" xfId="232" xr:uid="{D80E3F6F-4D5F-4082-AD70-77E872DFA021}"/>
    <cellStyle name="Normal 2 3 3" xfId="371" xr:uid="{63C7C545-5ED2-44E8-8EDD-AB3AD69051BD}"/>
    <cellStyle name="Normal 2 3 4" xfId="447" xr:uid="{6E03C1C9-2E08-4335-AEE5-7271680EB925}"/>
    <cellStyle name="Normal 2 3 5" xfId="354" xr:uid="{9ADD8483-16AC-4EB1-AD21-E45A8768813E}"/>
    <cellStyle name="Normal 2 30" xfId="175" xr:uid="{5B1DA0C8-E376-4781-AFA3-D19E2A7C137F}"/>
    <cellStyle name="Normal 2 30 2" xfId="375" xr:uid="{B40C8DBF-3BDC-4817-BB2C-41B7C6F7FE80}"/>
    <cellStyle name="Normal 2 30 3" xfId="524" xr:uid="{0F8EB8CB-AD85-4CE5-A263-131F8C41D43C}"/>
    <cellStyle name="Normal 2 30 4" xfId="624" xr:uid="{44E0B846-1D68-4559-ADFF-B2DC9BF71874}"/>
    <cellStyle name="Normal 2 30 5" xfId="713" xr:uid="{A4D72CAD-E87B-4D29-9EBA-839B2420FEFB}"/>
    <cellStyle name="Normal 2 31" xfId="179" xr:uid="{7B3A8CEF-0429-4C06-B06B-89CE37FEE135}"/>
    <cellStyle name="Normal 2 31 2" xfId="379" xr:uid="{86394BF0-F14F-479A-89B0-3BACCB64ADBF}"/>
    <cellStyle name="Normal 2 31 3" xfId="528" xr:uid="{73CD7148-631B-47A6-8B80-31026104FDE5}"/>
    <cellStyle name="Normal 2 31 4" xfId="627" xr:uid="{BDBC2CAD-146E-47AF-9844-D261AE1E9804}"/>
    <cellStyle name="Normal 2 31 5" xfId="716" xr:uid="{4D1B7BE1-C675-4A38-A6B1-9ED3DA66BAC3}"/>
    <cellStyle name="Normal 2 32" xfId="183" xr:uid="{645CA0C4-D89D-4694-997F-214BF41B2B4E}"/>
    <cellStyle name="Normal 2 32 2" xfId="383" xr:uid="{E880896F-340B-431F-BA8D-125B7D63AC31}"/>
    <cellStyle name="Normal 2 32 3" xfId="531" xr:uid="{8DF9B06F-6EE7-4683-8EB7-F586D1B158CA}"/>
    <cellStyle name="Normal 2 32 4" xfId="630" xr:uid="{A5E42D49-BFFF-406A-8DBF-245A2DE37AD2}"/>
    <cellStyle name="Normal 2 32 5" xfId="719" xr:uid="{3FD62DFF-8198-4089-837B-6B5CE0D9F3EB}"/>
    <cellStyle name="Normal 2 33" xfId="187" xr:uid="{523648C8-C9A3-45AC-A797-B67538E4F782}"/>
    <cellStyle name="Normal 2 33 2" xfId="387" xr:uid="{0B51E872-92D2-49D6-B4D0-783F49E2E5C6}"/>
    <cellStyle name="Normal 2 33 3" xfId="535" xr:uid="{59C8118C-3393-4A99-A3A6-6A5FABCCC9A5}"/>
    <cellStyle name="Normal 2 33 4" xfId="633" xr:uid="{472226E3-90EE-4971-9556-DE51DB1BD546}"/>
    <cellStyle name="Normal 2 33 5" xfId="722" xr:uid="{9AF99406-11B9-4052-B20A-3B9762EB1B2A}"/>
    <cellStyle name="Normal 2 34" xfId="189" xr:uid="{EE1CF8DF-9BF6-4E24-BE52-8D5BA7AACDC0}"/>
    <cellStyle name="Normal 2 34 2" xfId="389" xr:uid="{6A5BDA7F-32F4-46C0-95D0-168ED58B332F}"/>
    <cellStyle name="Normal 2 34 3" xfId="537" xr:uid="{1A8385C9-26FC-4BDB-B890-14E7E2DD179E}"/>
    <cellStyle name="Normal 2 34 4" xfId="635" xr:uid="{59D45BA1-6B9F-4C8D-B925-A90A6C2A72E4}"/>
    <cellStyle name="Normal 2 34 5" xfId="724" xr:uid="{5A0B0629-BDA5-4EAF-BFD2-DB81528ABF60}"/>
    <cellStyle name="Normal 2 35" xfId="195" xr:uid="{2433FAE4-A2BC-4ED5-85D8-40A6EB979527}"/>
    <cellStyle name="Normal 2 35 2" xfId="395" xr:uid="{5E17FA61-158B-4E0C-92F5-24473EBBDD87}"/>
    <cellStyle name="Normal 2 35 3" xfId="543" xr:uid="{EE7C9A5A-324B-49AA-8C08-240EF7F100EC}"/>
    <cellStyle name="Normal 2 35 4" xfId="639" xr:uid="{B594D0C6-50B7-4FFF-8E9F-57A1FA280562}"/>
    <cellStyle name="Normal 2 35 5" xfId="728" xr:uid="{840B4D7E-A713-4F81-96EA-EBBBBBF635ED}"/>
    <cellStyle name="Normal 2 36" xfId="199" xr:uid="{4E53C877-1329-44DA-BAB8-989A92030F0F}"/>
    <cellStyle name="Normal 2 36 2" xfId="398" xr:uid="{1EE76E60-AEEC-44EF-9E7A-3BDF8DD40230}"/>
    <cellStyle name="Normal 2 36 3" xfId="546" xr:uid="{833AD04C-8CE6-4A7B-8980-915DC00EDDB4}"/>
    <cellStyle name="Normal 2 36 4" xfId="641" xr:uid="{BCC1E643-E80F-4E3D-8B82-D7AC80D4171E}"/>
    <cellStyle name="Normal 2 36 5" xfId="730" xr:uid="{FA31E971-5EFB-45FD-848D-CF09B7932882}"/>
    <cellStyle name="Normal 2 37" xfId="203" xr:uid="{A0DF845A-D2D6-48E1-87A4-C1D6BF50A849}"/>
    <cellStyle name="Normal 2 37 2" xfId="401" xr:uid="{9DDD8B6B-B567-428B-B1AE-3303FA259837}"/>
    <cellStyle name="Normal 2 37 3" xfId="550" xr:uid="{23CFDBB3-7775-4D0E-8013-60D90F30750B}"/>
    <cellStyle name="Normal 2 37 4" xfId="644" xr:uid="{16BB1C52-150A-40A6-8C6E-970E536C5E40}"/>
    <cellStyle name="Normal 2 37 5" xfId="733" xr:uid="{B8AF4857-BE47-4790-98A5-19F2DDF8A3B3}"/>
    <cellStyle name="Normal 2 38" xfId="207" xr:uid="{251EEA2A-A96D-4D04-9950-107297AF94BE}"/>
    <cellStyle name="Normal 2 38 2" xfId="405" xr:uid="{CD28F531-193A-4C8C-8AB4-FA181A538F7B}"/>
    <cellStyle name="Normal 2 38 3" xfId="553" xr:uid="{C5750C8D-88F8-4D5D-A61A-EA7054A54DBF}"/>
    <cellStyle name="Normal 2 38 4" xfId="647" xr:uid="{EB6FEA06-EA4B-447E-A672-51FE733EB3A7}"/>
    <cellStyle name="Normal 2 38 5" xfId="736" xr:uid="{5DCD4F4E-A30A-4934-B178-42C9FB930253}"/>
    <cellStyle name="Normal 2 39" xfId="208" xr:uid="{4D116DAE-5981-46C8-8F96-D540757A0C78}"/>
    <cellStyle name="Normal 2 39 2" xfId="406" xr:uid="{B164298B-A2D5-4F41-A1BA-05514064F2E7}"/>
    <cellStyle name="Normal 2 39 3" xfId="554" xr:uid="{9C016760-36EA-4F88-84ED-AED1F588EDD9}"/>
    <cellStyle name="Normal 2 39 4" xfId="648" xr:uid="{493CD466-4807-43F2-B089-EE2A3D260F6A}"/>
    <cellStyle name="Normal 2 39 5" xfId="737" xr:uid="{7AD1298A-75FC-49A4-8196-5EDC9544D98F}"/>
    <cellStyle name="Normal 2 4" xfId="75" xr:uid="{BF412FBD-F6EE-4348-BF16-E96D9CA378C2}"/>
    <cellStyle name="Normal 2 4 2" xfId="273" xr:uid="{98404C9B-02BE-4D0F-B621-6B4B20146023}"/>
    <cellStyle name="Normal 2 4 3" xfId="426" xr:uid="{2CE69EE0-F8DB-4611-8D26-B1461B0DE2E4}"/>
    <cellStyle name="Normal 2 4 4" xfId="419" xr:uid="{BB96489A-436A-47AC-88E9-C0B4CD94C06F}"/>
    <cellStyle name="Normal 2 4 5" xfId="465" xr:uid="{EF2020D0-5D81-4FE5-AB1D-7D8DDF3CC835}"/>
    <cellStyle name="Normal 2 40" xfId="212" xr:uid="{BC954873-1BEC-4533-90EF-5DCB5950F1AB}"/>
    <cellStyle name="Normal 2 40 2" xfId="408" xr:uid="{8D27834B-C649-4EDA-885B-82A69150CAF8}"/>
    <cellStyle name="Normal 2 40 3" xfId="558" xr:uid="{7405A1D5-56E7-40CA-98F2-305076C4F233}"/>
    <cellStyle name="Normal 2 40 4" xfId="650" xr:uid="{782DC083-D388-4048-86A8-F1389BA1A201}"/>
    <cellStyle name="Normal 2 40 5" xfId="738" xr:uid="{627294B5-322F-4AE5-9AD0-E50CB6EA7A37}"/>
    <cellStyle name="Normal 2 41" xfId="217" xr:uid="{0CCD0A93-FE75-4A3A-BFE8-ADB8AFF585F9}"/>
    <cellStyle name="Normal 2 42" xfId="228" xr:uid="{467162B8-ECC3-4BBD-89EC-BF46CA1CD17C}"/>
    <cellStyle name="Normal 2 43" xfId="372" xr:uid="{1A269AEE-9C26-49C4-AAF9-DD60D79E4490}"/>
    <cellStyle name="Normal 2 44" xfId="448" xr:uid="{FA445B20-B3E2-4778-A5D8-8C740512392D}"/>
    <cellStyle name="Normal 2 5" xfId="78" xr:uid="{98D16E67-12EE-4763-8B8D-F3890E668D9A}"/>
    <cellStyle name="Normal 2 5 2" xfId="287" xr:uid="{7E7C0385-5A11-409D-954F-40AA3B381C7C}"/>
    <cellStyle name="Normal 2 5 3" xfId="437" xr:uid="{0681493A-36ED-4D02-93C6-4A69EF49D7E4}"/>
    <cellStyle name="Normal 2 5 4" xfId="315" xr:uid="{B58995EB-93ED-4855-BBE9-FA0EE5E930C9}"/>
    <cellStyle name="Normal 2 5 5" xfId="521" xr:uid="{5D874619-101D-4116-8BC7-25267793E2A8}"/>
    <cellStyle name="Normal 2 6" xfId="81" xr:uid="{C6E79F68-06C0-4614-9497-9EC50D94EAE6}"/>
    <cellStyle name="Normal 2 6 2" xfId="288" xr:uid="{2A7FBDAD-A1EE-4F40-83C6-655103BCA6EB}"/>
    <cellStyle name="Normal 2 6 3" xfId="438" xr:uid="{290BD620-D1F9-4DED-BA93-526AC0FB891E}"/>
    <cellStyle name="Normal 2 6 4" xfId="323" xr:uid="{C13D5180-2EF7-4915-8E00-95F2A89C9239}"/>
    <cellStyle name="Normal 2 6 5" xfId="525" xr:uid="{5853C763-FBA0-4B83-9C9B-030EEC6EA662}"/>
    <cellStyle name="Normal 2 7" xfId="84" xr:uid="{DB999226-BB9B-417C-8C3F-99EC6AF99053}"/>
    <cellStyle name="Normal 2 7 2" xfId="291" xr:uid="{FD204E38-B8A1-4D17-94F0-2D292CF18BDC}"/>
    <cellStyle name="Normal 2 7 3" xfId="440" xr:uid="{41A95805-1E13-4EE2-8556-C2D8612697D4}"/>
    <cellStyle name="Normal 2 7 4" xfId="334" xr:uid="{8C0C8DC7-7E4D-43D6-8183-BA7FE2112446}"/>
    <cellStyle name="Normal 2 7 5" xfId="539" xr:uid="{CE245075-98F4-40AC-9CB2-5F7B370B5CB3}"/>
    <cellStyle name="Normal 2 8" xfId="85" xr:uid="{729315D2-0483-4B02-AC9D-D4CAF8A12309}"/>
    <cellStyle name="Normal 2 8 2" xfId="292" xr:uid="{A8884C7F-D616-4F78-948C-21DA169486F7}"/>
    <cellStyle name="Normal 2 8 3" xfId="441" xr:uid="{16C1616B-E9EA-431D-BAA8-779F8BA5D6FF}"/>
    <cellStyle name="Normal 2 8 4" xfId="337" xr:uid="{0DB0666B-7B93-4D12-B1D2-793B904FFA72}"/>
    <cellStyle name="Normal 2 8 5" xfId="540" xr:uid="{EBC2AC9D-5759-4F7C-83FC-3F24FBCAC966}"/>
    <cellStyle name="Normal 2 9" xfId="86" xr:uid="{F08C4932-F23D-4756-B4E6-2C965419A8B4}"/>
    <cellStyle name="Normal 2 9 2" xfId="293" xr:uid="{8A90FFE3-F2E0-4EDC-86D8-5D89E3F0773D}"/>
    <cellStyle name="Normal 2 9 3" xfId="442" xr:uid="{A5ADFB4A-B4E9-41BF-9B59-7884F55A2321}"/>
    <cellStyle name="Normal 2 9 4" xfId="269" xr:uid="{E7E9457A-EED7-4581-ACD2-C2D29522A368}"/>
    <cellStyle name="Normal 2 9 5" xfId="544" xr:uid="{A9698CE1-BD04-45A1-87AC-D6943237D0CD}"/>
    <cellStyle name="Normal 20" xfId="130" xr:uid="{0399972B-A1EC-4E45-AF62-54E1851D7F9D}"/>
    <cellStyle name="Normal 20 2" xfId="332" xr:uid="{36E14856-644D-4462-9321-3DE77573863E}"/>
    <cellStyle name="Normal 20 3" xfId="482" xr:uid="{96983995-146C-4409-9D32-445806673EA4}"/>
    <cellStyle name="Normal 20 4" xfId="591" xr:uid="{B5880890-7685-467C-A085-6D2065F62253}"/>
    <cellStyle name="Normal 20 5" xfId="680" xr:uid="{E11B0270-53E7-4EC4-8575-A189D2BBA7B0}"/>
    <cellStyle name="Normal 21" xfId="134" xr:uid="{72453E62-9C1D-4CBB-AF84-3F242013AF72}"/>
    <cellStyle name="Normal 21 2" xfId="336" xr:uid="{76C35BCE-707C-4CE7-BC6D-A77FB90C8775}"/>
    <cellStyle name="Normal 21 3" xfId="486" xr:uid="{4F2195AD-F46E-4E2A-BD88-EFCF21AEBF14}"/>
    <cellStyle name="Normal 21 4" xfId="594" xr:uid="{89669629-114C-442E-BE13-1D847324AF51}"/>
    <cellStyle name="Normal 21 5" xfId="683" xr:uid="{422D1020-C72E-4109-BDEF-0D8201E2A613}"/>
    <cellStyle name="Normal 22" xfId="138" xr:uid="{44FCB927-E9F9-403D-84A9-EF4D5A5C5B3C}"/>
    <cellStyle name="Normal 22 2" xfId="340" xr:uid="{BF58932B-7947-4F03-AEDB-0EF12B97B722}"/>
    <cellStyle name="Normal 22 3" xfId="490" xr:uid="{F6DC4E87-C3BC-4F72-B960-CAD6A3AE48A4}"/>
    <cellStyle name="Normal 22 4" xfId="596" xr:uid="{549CD2BE-59CC-4071-8B1C-C16327F4DCFA}"/>
    <cellStyle name="Normal 22 5" xfId="685" xr:uid="{88F01D4D-CF52-4641-ADB0-FF4426F4CB34}"/>
    <cellStyle name="Normal 23" xfId="142" xr:uid="{C81861D3-6B92-4A7C-87AB-514F0D84F77D}"/>
    <cellStyle name="Normal 23 2" xfId="344" xr:uid="{07428D67-D2CF-483F-B323-041D539A344E}"/>
    <cellStyle name="Normal 23 3" xfId="493" xr:uid="{085573B2-B3DA-4F92-BE5B-1CFFB0E2E761}"/>
    <cellStyle name="Normal 23 4" xfId="599" xr:uid="{2E0F3EC4-0626-4219-B29E-5E2D97037783}"/>
    <cellStyle name="Normal 23 5" xfId="688" xr:uid="{D0333217-1C4A-4C92-BDBA-56A3C45305D6}"/>
    <cellStyle name="Normal 24" xfId="146" xr:uid="{C93B9E8D-00A2-4283-8026-AD8662093BBA}"/>
    <cellStyle name="Normal 24 2" xfId="348" xr:uid="{70FD2CA6-633B-4981-9CE3-0BC2518455CA}"/>
    <cellStyle name="Normal 24 3" xfId="497" xr:uid="{CCBDC338-CA6F-429F-BDC5-121B48F0A5D6}"/>
    <cellStyle name="Normal 24 4" xfId="602" xr:uid="{865D007A-09AA-4647-8595-B6582E5435DB}"/>
    <cellStyle name="Normal 24 5" xfId="691" xr:uid="{20D911A2-EEE2-43AC-8301-9A18804AD944}"/>
    <cellStyle name="Normal 25" xfId="148" xr:uid="{36EE3F75-D948-4E7F-B8A2-8A3B2CDA4644}"/>
    <cellStyle name="Normal 25 2" xfId="350" xr:uid="{6ACAA72F-331F-477B-B578-3D2CC52A3286}"/>
    <cellStyle name="Normal 25 3" xfId="499" xr:uid="{7332BEEA-52D3-4856-ACBE-987FFEFABF8B}"/>
    <cellStyle name="Normal 25 4" xfId="604" xr:uid="{824F3BF1-3239-422A-814A-1E87311B7799}"/>
    <cellStyle name="Normal 25 5" xfId="693" xr:uid="{12D7C515-8302-4E21-9C0A-FAA9338B3ED2}"/>
    <cellStyle name="Normal 26" xfId="154" xr:uid="{C42A11D3-C9E8-47F1-93DF-E161046056F5}"/>
    <cellStyle name="Normal 26 2" xfId="356" xr:uid="{12BB95A5-DB2D-467A-A0A6-236F54FD72A8}"/>
    <cellStyle name="Normal 26 3" xfId="505" xr:uid="{BC1769EA-21BF-42BA-9883-9692197F5F20}"/>
    <cellStyle name="Normal 26 4" xfId="608" xr:uid="{BC48D31A-3B06-40E6-936C-6A445C9B279E}"/>
    <cellStyle name="Normal 26 5" xfId="697" xr:uid="{3DFD07A0-B336-4CBE-A658-CFC72D475245}"/>
    <cellStyle name="Normal 27" xfId="158" xr:uid="{9C2E3F14-F22B-43DE-AE8A-0843879D0463}"/>
    <cellStyle name="Normal 27 2" xfId="359" xr:uid="{F39814B1-3AB8-46B1-8BF4-4A4485276C39}"/>
    <cellStyle name="Normal 27 3" xfId="508" xr:uid="{A939B303-E1DD-4FD8-A469-01CE604DFDA4}"/>
    <cellStyle name="Normal 27 4" xfId="611" xr:uid="{14D40512-128B-4594-A492-0487B1C1D457}"/>
    <cellStyle name="Normal 27 5" xfId="700" xr:uid="{674AEDCF-91E0-484B-A1C5-7037509EAB9C}"/>
    <cellStyle name="Normal 28" xfId="162" xr:uid="{CE77C118-57CE-445D-B384-E3D649869549}"/>
    <cellStyle name="Normal 28 2" xfId="362" xr:uid="{5F6C5E06-1F9C-47ED-B358-14A72D8471FA}"/>
    <cellStyle name="Normal 28 3" xfId="512" xr:uid="{8854943B-AE23-4C21-993F-E78CA292BD63}"/>
    <cellStyle name="Normal 28 4" xfId="614" xr:uid="{52463A91-F217-473A-914C-9C89111ED2E5}"/>
    <cellStyle name="Normal 28 5" xfId="703" xr:uid="{0F709D0B-3982-45C9-BE0A-3CD6A83C9B2A}"/>
    <cellStyle name="Normal 29" xfId="166" xr:uid="{CF577E97-2A57-4C17-92AA-09F0B94A47A1}"/>
    <cellStyle name="Normal 29 2" xfId="366" xr:uid="{9AADDE15-5E99-41AB-AF75-CF6C1AA502B5}"/>
    <cellStyle name="Normal 29 3" xfId="515" xr:uid="{8594103B-BBF0-407A-A371-3E0D9ABE8726}"/>
    <cellStyle name="Normal 29 4" xfId="617" xr:uid="{EE51D625-CAB7-42A2-9CE1-EE37AA641914}"/>
    <cellStyle name="Normal 29 5" xfId="706" xr:uid="{C841160F-95BB-4358-87A9-421152F0E4BD}"/>
    <cellStyle name="Normal 3" xfId="17" xr:uid="{7B646EC5-6921-4AF9-838F-80AEF6200149}"/>
    <cellStyle name="Normal 3 2" xfId="224" xr:uid="{D7FDD6F8-3D76-4E49-99FD-AFD5C1AC1BF5}"/>
    <cellStyle name="Normal 3 3" xfId="225" xr:uid="{A2766BEA-BBF0-4A33-B624-6EF6C5CDD98F}"/>
    <cellStyle name="Normal 3 4" xfId="226" xr:uid="{F53C3BBA-B274-48E0-B246-C11A11D682E2}"/>
    <cellStyle name="Normal 3 5" xfId="274" xr:uid="{8C8CC2C0-2FC5-4B94-B7DF-BE827AA1A640}"/>
    <cellStyle name="Normal 3 6" xfId="59" xr:uid="{E0D50744-C470-4280-80FB-21EEC6F10F2C}"/>
    <cellStyle name="Normal 30" xfId="168" xr:uid="{E8A88FCB-02AB-4D21-8B8F-E589577624DF}"/>
    <cellStyle name="Normal 30 2" xfId="368" xr:uid="{CB77032A-FA91-44B1-8EEC-CDF9D1AC2527}"/>
    <cellStyle name="Normal 30 3" xfId="517" xr:uid="{5B50D821-8DC4-47BA-929B-01764DABBDDC}"/>
    <cellStyle name="Normal 30 4" xfId="619" xr:uid="{B65DF0C0-5478-4FDA-B070-F842BDDEB1A4}"/>
    <cellStyle name="Normal 30 5" xfId="708" xr:uid="{588D981C-CD0C-4546-BAD9-4C3AEC043F16}"/>
    <cellStyle name="Normal 31" xfId="174" xr:uid="{C127E48C-604E-44A4-B7FA-93527C6762B0}"/>
    <cellStyle name="Normal 31 2" xfId="374" xr:uid="{2E62AF53-B716-44AF-89B4-E41D9EF42CCC}"/>
    <cellStyle name="Normal 31 3" xfId="523" xr:uid="{F6258369-129D-4598-B555-AD808B392054}"/>
    <cellStyle name="Normal 31 4" xfId="623" xr:uid="{8CA1CE65-1D93-4015-8604-2363F4EC39FE}"/>
    <cellStyle name="Normal 31 5" xfId="712" xr:uid="{BD508C9C-7EFE-4599-BA31-190AF659CCAD}"/>
    <cellStyle name="Normal 32" xfId="178" xr:uid="{E3BE04E8-9B53-402A-BDB6-5609C7D998B1}"/>
    <cellStyle name="Normal 32 2" xfId="378" xr:uid="{A9599873-52D7-4CA2-A458-9928FDCC3A37}"/>
    <cellStyle name="Normal 32 3" xfId="527" xr:uid="{0122C701-D6A9-4F9F-9CDC-6A88CF58A8A2}"/>
    <cellStyle name="Normal 32 4" xfId="626" xr:uid="{610B5926-2989-4730-B463-FF7EDE41B1C2}"/>
    <cellStyle name="Normal 32 5" xfId="715" xr:uid="{89923764-5761-42F0-A0C4-4C530E4EC563}"/>
    <cellStyle name="Normal 33" xfId="182" xr:uid="{9A8958B8-6C92-40B4-90EE-A17E52ACDFA7}"/>
    <cellStyle name="Normal 33 2" xfId="382" xr:uid="{71DB561D-EABD-4383-872D-2A27D19B6943}"/>
    <cellStyle name="Normal 33 3" xfId="530" xr:uid="{279C8444-000E-4574-BAF2-1D8CE5048BB8}"/>
    <cellStyle name="Normal 33 4" xfId="629" xr:uid="{096F34AA-E300-4E00-9C06-CFBAC5CFAFD5}"/>
    <cellStyle name="Normal 33 5" xfId="718" xr:uid="{73B4B96E-319B-4BF2-9F9C-EDC91B7EBB42}"/>
    <cellStyle name="Normal 34" xfId="186" xr:uid="{28A52637-551B-466B-872A-C1A359E2F31C}"/>
    <cellStyle name="Normal 34 2" xfId="386" xr:uid="{60F7A320-218B-4242-B61F-29FA3ECCEF91}"/>
    <cellStyle name="Normal 34 3" xfId="534" xr:uid="{0321CC1E-1A02-4260-806C-56A94DBD9295}"/>
    <cellStyle name="Normal 34 4" xfId="632" xr:uid="{4D811838-3669-41F2-89A0-6AFEC14F88EF}"/>
    <cellStyle name="Normal 34 5" xfId="721" xr:uid="{BBCCF350-648A-4121-BDC0-A18BADEED161}"/>
    <cellStyle name="Normal 35" xfId="188" xr:uid="{E855CB45-E35E-4C1A-B2D3-FA66E7C68C27}"/>
    <cellStyle name="Normal 35 2" xfId="388" xr:uid="{B03996A6-B33D-4730-B8DE-63EA97710470}"/>
    <cellStyle name="Normal 35 3" xfId="536" xr:uid="{04069C62-A297-4B2C-9F61-2FD18CD233B3}"/>
    <cellStyle name="Normal 35 4" xfId="634" xr:uid="{EF1D4A28-276A-4337-8F36-17DC2C0454BE}"/>
    <cellStyle name="Normal 35 5" xfId="723" xr:uid="{FA99F8AE-328F-4351-A27A-2E1EABC238F9}"/>
    <cellStyle name="Normal 36" xfId="194" xr:uid="{9A857B75-B1D5-45EA-A02F-0E6932BE3221}"/>
    <cellStyle name="Normal 36 2" xfId="394" xr:uid="{3C3757BF-D22B-4BA9-9E96-73C103804995}"/>
    <cellStyle name="Normal 36 3" xfId="542" xr:uid="{E4A40B8B-E56B-4ACA-B87C-770A3AC66AA4}"/>
    <cellStyle name="Normal 36 4" xfId="638" xr:uid="{9F80B22D-C544-4430-B171-33134235BDAF}"/>
    <cellStyle name="Normal 36 5" xfId="727" xr:uid="{CFC01665-DF06-49F9-BA6E-33895EAC1F9C}"/>
    <cellStyle name="Normal 37" xfId="198" xr:uid="{6DCB6449-756F-462F-AEB5-58E36563C912}"/>
    <cellStyle name="Normal 37 2" xfId="227" xr:uid="{CB7E9E2D-8C35-4F97-909A-CA72C01C4BEE}"/>
    <cellStyle name="Normal 37 3" xfId="402" xr:uid="{DB74ECDC-CB10-44B2-BCF6-DA15E010EAAC}"/>
    <cellStyle name="Normal 37 4" xfId="409" xr:uid="{9177B015-E909-4FE4-8EB9-C1EFB8001DEA}"/>
    <cellStyle name="Normal 37 5" xfId="427" xr:uid="{6061BB62-817F-4DB0-84F3-83E14A4363D1}"/>
    <cellStyle name="Normal 38" xfId="202" xr:uid="{153D7BEB-9EE7-436F-8F63-5EAD6C837606}"/>
    <cellStyle name="Normal 38 2" xfId="400" xr:uid="{087C0CC2-D062-4885-8DB9-FAA5E6E3AA62}"/>
    <cellStyle name="Normal 38 3" xfId="549" xr:uid="{EF0D00ED-BF8A-4F4B-8A1D-33BB2B60D815}"/>
    <cellStyle name="Normal 38 4" xfId="643" xr:uid="{032DAC56-D9F2-48C4-9885-4DFECEC04F06}"/>
    <cellStyle name="Normal 38 5" xfId="732" xr:uid="{5FA7C073-346C-42AC-96B0-A7BF68E89E89}"/>
    <cellStyle name="Normal 39" xfId="206" xr:uid="{11168E59-FAE0-4A6D-A9BD-8BEEE9B95397}"/>
    <cellStyle name="Normal 39 2" xfId="404" xr:uid="{917391E4-C87B-4BFD-8240-9E3D995B6218}"/>
    <cellStyle name="Normal 39 3" xfId="552" xr:uid="{9F87A070-2269-43CF-ADD5-05781AA38148}"/>
    <cellStyle name="Normal 39 4" xfId="646" xr:uid="{B1CC01A3-91C9-4496-82DB-9547DEA2269E}"/>
    <cellStyle name="Normal 39 5" xfId="735" xr:uid="{9FBC4260-167D-413D-B609-B19CF00E8E98}"/>
    <cellStyle name="Normal 4" xfId="216" xr:uid="{05789F4E-0953-4008-A190-FE9993B049C5}"/>
    <cellStyle name="Normal 4 2" xfId="744" xr:uid="{000FB773-19BC-4CE3-9913-A852DE7AD209}"/>
    <cellStyle name="Normal 44" xfId="740" xr:uid="{16FDA21B-C63D-4803-ACEE-188B44DEBAD7}"/>
    <cellStyle name="Normal 45" xfId="748" xr:uid="{A6C72F5E-396F-419C-9243-436F85599B4D}"/>
    <cellStyle name="Normal 46" xfId="741" xr:uid="{1512B82F-FFBB-483A-8F85-4AE2F13628C3}"/>
    <cellStyle name="Normal 48" xfId="745" xr:uid="{93C55521-033F-4250-BBB1-911568EDFD81}"/>
    <cellStyle name="Normal 49" xfId="746" xr:uid="{B3902075-0558-41B8-966F-122B8D6B4760}"/>
    <cellStyle name="Normal 5" xfId="791" xr:uid="{0418026F-6350-4556-8A6C-63114305D533}"/>
    <cellStyle name="Normal 5 2" xfId="233" xr:uid="{56D2972B-6CEF-46CA-A5A9-630BF434A88D}"/>
    <cellStyle name="Normal 5 3" xfId="364" xr:uid="{31790B94-5414-47B3-9DA7-5ECE2FA62AE0}"/>
    <cellStyle name="Normal 5 4" xfId="444" xr:uid="{9DB39720-8FC7-4211-82BD-A186CF0A16CE}"/>
    <cellStyle name="Normal 5 5" xfId="342" xr:uid="{0703CB34-6D2D-42DF-9427-839615BF6993}"/>
    <cellStyle name="Normal 51" xfId="742" xr:uid="{7E34343A-27CF-42BB-8402-F11A7DB23DCD}"/>
    <cellStyle name="Normal 52" xfId="739" xr:uid="{F6E73C3E-1D5E-46D9-96AF-F8CAEAE017D0}"/>
    <cellStyle name="Normal 53" xfId="743" xr:uid="{69D070D7-718E-4568-948D-53478D7BF8EA}"/>
    <cellStyle name="Normal 6" xfId="234" xr:uid="{EB4EDADD-9D6D-4757-9021-CBB7FEAB3505}"/>
    <cellStyle name="Normal 7" xfId="235" xr:uid="{1E000B75-DC98-48B3-A44D-4F33CC85C004}"/>
    <cellStyle name="Normal 8" xfId="20" xr:uid="{D2A0C713-873A-45F4-9581-397EDF9A9F7B}"/>
    <cellStyle name="Note 2" xfId="275" xr:uid="{348A8BAF-6843-4678-AD98-D27594CB3225}"/>
    <cellStyle name="Note 2 2" xfId="428" xr:uid="{0E995449-8928-4989-BEF7-711638B9CAA9}"/>
    <cellStyle name="Note 2 3" xfId="418" xr:uid="{D32B443D-8967-469F-BFDB-9FBFCC3AA765}"/>
    <cellStyle name="Note 2 4" xfId="475" xr:uid="{3D37FD6B-B115-4B4D-A97B-3D0401C7A376}"/>
    <cellStyle name="Note 3" xfId="60" xr:uid="{4366CC74-E9A3-4B51-A354-7D53BCD6BC71}"/>
    <cellStyle name="Output 2" xfId="276" xr:uid="{FD06A354-179A-4657-942C-C17E77287EE2}"/>
    <cellStyle name="Output 2 2" xfId="429" xr:uid="{21450E41-01B0-4DF7-AA6F-6ED97744AD6F}"/>
    <cellStyle name="Output 2 3" xfId="416" xr:uid="{752C91D8-6FCD-4773-A56C-BB7CB1BF474E}"/>
    <cellStyle name="Output 2 4" xfId="484" xr:uid="{4ACD9785-7B98-4717-9847-0B489CA138D0}"/>
    <cellStyle name="Output 3" xfId="785" xr:uid="{AC4EBD4C-BF39-412E-9BE8-6A2F8283B2FA}"/>
    <cellStyle name="Output 4" xfId="61" xr:uid="{28FC7AAC-C5BF-4490-B6BE-5CFF5A443AFF}"/>
    <cellStyle name="Percent" xfId="8" builtinId="5"/>
    <cellStyle name="Percent 2" xfId="16" xr:uid="{2AF1046F-BD13-48E2-87B5-02C6E2CA1537}"/>
    <cellStyle name="Percent 2 10" xfId="98" xr:uid="{9D6BDF6A-9EFD-4454-A144-9E2713A71B26}"/>
    <cellStyle name="Percent 2 10 2" xfId="303" xr:uid="{28A72A1D-DE24-4F00-B9C9-CF8C7D67B721}"/>
    <cellStyle name="Percent 2 10 3" xfId="454" xr:uid="{4E0BBFF4-C2C9-4AD9-92D2-E5A9B1675792}"/>
    <cellStyle name="Percent 2 10 4" xfId="566" xr:uid="{B639FE2A-F447-4985-A401-3403F3FB43DC}"/>
    <cellStyle name="Percent 2 10 5" xfId="656" xr:uid="{370ADA7F-D4E7-4CC9-B795-76B98524D8A0}"/>
    <cellStyle name="Percent 2 11" xfId="101" xr:uid="{79911CF9-865A-4EAE-A1C0-7ADA43F8EC6F}"/>
    <cellStyle name="Percent 2 11 2" xfId="305" xr:uid="{1412FDFB-C036-440F-ACFC-7A8714D9CA35}"/>
    <cellStyle name="Percent 2 11 3" xfId="456" xr:uid="{77C0459F-0134-47BB-A66B-24A76F5E713E}"/>
    <cellStyle name="Percent 2 11 4" xfId="567" xr:uid="{6370E25C-16B8-4FC5-BCD6-C6ABADBD6191}"/>
    <cellStyle name="Percent 2 11 5" xfId="657" xr:uid="{FB003323-0DBD-4267-8A27-3EC9CCFC5FDE}"/>
    <cellStyle name="Percent 2 12" xfId="105" xr:uid="{57A1839C-B6B2-4803-82A3-97DC2A587198}"/>
    <cellStyle name="Percent 2 12 2" xfId="309" xr:uid="{1C564F55-BB01-4055-8368-994412A68D1E}"/>
    <cellStyle name="Percent 2 12 3" xfId="459" xr:uid="{3F683EAC-A450-4470-AF5B-D10C76631402}"/>
    <cellStyle name="Percent 2 12 4" xfId="570" xr:uid="{8E5B5CF1-B0EC-44D8-9ABD-1CA9BEDFC1AB}"/>
    <cellStyle name="Percent 2 12 5" xfId="660" xr:uid="{B969BA0C-AFD1-4D05-AD97-A40B76A1AE78}"/>
    <cellStyle name="Percent 2 13" xfId="110" xr:uid="{160E03EE-4524-4B9D-B2E9-F32CE8CD9A6D}"/>
    <cellStyle name="Percent 2 13 2" xfId="314" xr:uid="{AB49D46A-2500-42FE-9AF7-335739E86C86}"/>
    <cellStyle name="Percent 2 13 3" xfId="464" xr:uid="{0EFCFEDA-7333-42BE-860B-A52499CDB2A4}"/>
    <cellStyle name="Percent 2 13 4" xfId="575" xr:uid="{7E184C1A-DEF8-4795-9599-6E8BBCE2E882}"/>
    <cellStyle name="Percent 2 13 5" xfId="665" xr:uid="{1F032AAF-B8E1-4890-BF43-15C5924235B5}"/>
    <cellStyle name="Percent 2 14" xfId="113" xr:uid="{BE91EE92-D0F0-49BF-894E-643090F039EE}"/>
    <cellStyle name="Percent 2 14 2" xfId="316" xr:uid="{AEDEA7BA-7FCB-4ADD-9295-E29ED849E7C7}"/>
    <cellStyle name="Percent 2 14 3" xfId="466" xr:uid="{7FF3BA99-8F55-4086-A2BE-0BB826340260}"/>
    <cellStyle name="Percent 2 14 4" xfId="576" xr:uid="{34E34849-7C84-4C00-AA66-F61F706F4554}"/>
    <cellStyle name="Percent 2 14 5" xfId="666" xr:uid="{B5A0581B-109C-41EC-826C-AC3AE451D705}"/>
    <cellStyle name="Percent 2 15" xfId="119" xr:uid="{167F40B6-6600-43C9-B17F-F448A11AAFC1}"/>
    <cellStyle name="Percent 2 15 2" xfId="322" xr:uid="{9A315718-3318-4A12-BFAE-726A93C34C41}"/>
    <cellStyle name="Percent 2 15 3" xfId="472" xr:uid="{AB59B2CE-3A4E-4623-8A06-73C58436A231}"/>
    <cellStyle name="Percent 2 15 4" xfId="582" xr:uid="{80B21E18-66DB-4DD2-9C37-1AD00E10859F}"/>
    <cellStyle name="Percent 2 15 5" xfId="672" xr:uid="{64657A61-C959-4048-B5DA-563BACC00852}"/>
    <cellStyle name="Percent 2 16" xfId="121" xr:uid="{D49A982A-F42A-4DB5-927B-5A8F319D2782}"/>
    <cellStyle name="Percent 2 16 2" xfId="324" xr:uid="{662422C4-F7D8-4911-8EB9-D8CDFE0579B7}"/>
    <cellStyle name="Percent 2 16 3" xfId="473" xr:uid="{A04CBE43-F8C7-4910-B18F-2E4163D29D0A}"/>
    <cellStyle name="Percent 2 16 4" xfId="583" xr:uid="{F333E381-A409-41BE-89E3-B630F6D6A3FE}"/>
    <cellStyle name="Percent 2 16 5" xfId="673" xr:uid="{B9FD2F7C-CFE7-4363-AC47-11DE1B6604B0}"/>
    <cellStyle name="Percent 2 17" xfId="125" xr:uid="{B9BD19B5-CD1E-4A10-B98D-7D0583A99777}"/>
    <cellStyle name="Percent 2 17 2" xfId="327" xr:uid="{5715DAC7-32B2-451A-B21E-CE9B8D6A82D1}"/>
    <cellStyle name="Percent 2 17 3" xfId="477" xr:uid="{99838E9D-68D5-4687-B006-76999F135ED6}"/>
    <cellStyle name="Percent 2 17 4" xfId="586" xr:uid="{32C847E8-FB8B-4526-A97A-0ABC776E5495}"/>
    <cellStyle name="Percent 2 17 5" xfId="675" xr:uid="{AF761161-FDC7-4B2E-B4B0-DC179781A0D4}"/>
    <cellStyle name="Percent 2 18" xfId="131" xr:uid="{72B30B4F-81C4-4027-9F64-FEB72F17CBF2}"/>
    <cellStyle name="Percent 2 18 2" xfId="333" xr:uid="{D27A5992-B52D-4874-A007-806E8DA3C999}"/>
    <cellStyle name="Percent 2 18 3" xfId="483" xr:uid="{6DB3A529-A04E-4738-A120-F7833A7CD0AC}"/>
    <cellStyle name="Percent 2 18 4" xfId="592" xr:uid="{1E38275E-7412-47A9-B53C-37592551B1D2}"/>
    <cellStyle name="Percent 2 18 5" xfId="681" xr:uid="{5CC2A81D-5546-48EF-BAEE-5C9B72072386}"/>
    <cellStyle name="Percent 2 19" xfId="133" xr:uid="{DEFC098A-0EED-4EF0-B800-EB890FC46AB2}"/>
    <cellStyle name="Percent 2 19 2" xfId="335" xr:uid="{DF97DAE6-9051-4F51-AB29-D3C3BBCAB82C}"/>
    <cellStyle name="Percent 2 19 3" xfId="485" xr:uid="{9F0B2A00-7ACF-4822-B903-84ACDA251461}"/>
    <cellStyle name="Percent 2 19 4" xfId="593" xr:uid="{EDB0E31E-17B5-4A55-832D-9CE4857CA840}"/>
    <cellStyle name="Percent 2 19 5" xfId="682" xr:uid="{36773DCD-70AA-4A3B-BDE3-14C1910A8AB4}"/>
    <cellStyle name="Percent 2 2" xfId="71" xr:uid="{3D3E6251-E136-41D9-8E44-E673E481EF94}"/>
    <cellStyle name="Percent 2 2 2" xfId="229" xr:uid="{88288461-C725-435C-ADD3-947C84DB4C27}"/>
    <cellStyle name="Percent 2 2 2 2" xfId="283" xr:uid="{658B40DB-80A0-479B-86D2-F55FF9847C58}"/>
    <cellStyle name="Percent 2 2 2 3" xfId="434" xr:uid="{D63446D8-F3EC-4834-9739-6E0F86891B3F}"/>
    <cellStyle name="Percent 2 2 2 4" xfId="411" xr:uid="{7010FAE7-3256-4DE2-AC1C-8B8C54F556BF}"/>
    <cellStyle name="Percent 2 2 2 5" xfId="503" xr:uid="{F3EBE770-D677-4084-9319-BF1AE29E94A6}"/>
    <cellStyle name="Percent 2 2 3" xfId="380" xr:uid="{FBE253A1-4675-4D05-871E-8CF0370C5F3B}"/>
    <cellStyle name="Percent 2 2 4" xfId="295" xr:uid="{BA937E79-9374-4E5D-BF47-30727BA9C1A5}"/>
    <cellStyle name="Percent 2 2 5" xfId="396" xr:uid="{B494D3CE-DED5-497C-9902-E29019D3F3B7}"/>
    <cellStyle name="Percent 2 20" xfId="137" xr:uid="{A0B14FA7-6952-4853-9474-B11E16CB0B04}"/>
    <cellStyle name="Percent 2 20 2" xfId="339" xr:uid="{A57897FC-D8A3-4662-BFBD-0A815F46B9C4}"/>
    <cellStyle name="Percent 2 20 3" xfId="489" xr:uid="{E8CA3354-0091-4ACA-B639-91BBF5BBED30}"/>
    <cellStyle name="Percent 2 20 4" xfId="595" xr:uid="{F4912E51-4BB4-42DB-A6B9-6CAC6EF34D1A}"/>
    <cellStyle name="Percent 2 20 5" xfId="684" xr:uid="{A996A8B2-8830-4894-82FA-9275BA69A22B}"/>
    <cellStyle name="Percent 2 21" xfId="141" xr:uid="{3C6A3B63-C253-4FD1-9227-1860C8598CF8}"/>
    <cellStyle name="Percent 2 21 2" xfId="343" xr:uid="{DB6299A3-F9BD-482E-8AEF-44AA3D91AF20}"/>
    <cellStyle name="Percent 2 21 3" xfId="492" xr:uid="{BEF3C7BF-CACB-4434-87B1-C843A7646601}"/>
    <cellStyle name="Percent 2 21 4" xfId="598" xr:uid="{526F567E-F4DC-4DC4-9DDE-183800CD5F52}"/>
    <cellStyle name="Percent 2 21 5" xfId="687" xr:uid="{184A0B6B-111D-4E2F-8C03-6024EC3230BF}"/>
    <cellStyle name="Percent 2 22" xfId="145" xr:uid="{C6BCD363-8E22-4C5B-9C0B-E0EDB672B1F9}"/>
    <cellStyle name="Percent 2 22 2" xfId="347" xr:uid="{608A9A5B-A1B4-4712-9901-30C5465D4E8B}"/>
    <cellStyle name="Percent 2 22 3" xfId="496" xr:uid="{CFB2C5E1-8322-47AE-B716-42559F129310}"/>
    <cellStyle name="Percent 2 22 4" xfId="601" xr:uid="{ED47A01A-0330-402B-9C4F-7D94F31F8445}"/>
    <cellStyle name="Percent 2 22 5" xfId="690" xr:uid="{5A083CA9-B12B-4F9B-9CF3-8448E60CB28D}"/>
    <cellStyle name="Percent 2 23" xfId="150" xr:uid="{9CC32538-FDCD-4AD9-9206-76541096111A}"/>
    <cellStyle name="Percent 2 23 2" xfId="352" xr:uid="{23AB8968-2CCD-4A6D-8CF4-2B476A7A30A2}"/>
    <cellStyle name="Percent 2 23 3" xfId="501" xr:uid="{0B9E79CA-F2B4-4428-A715-5907465B6827}"/>
    <cellStyle name="Percent 2 23 4" xfId="606" xr:uid="{4B69879E-61CF-4817-8536-474C6C2B209E}"/>
    <cellStyle name="Percent 2 23 5" xfId="695" xr:uid="{C35B43CA-96FF-4877-A281-96FA504DBE7B}"/>
    <cellStyle name="Percent 2 24" xfId="153" xr:uid="{00B8A7F0-0913-491F-A921-D0950BC4F05F}"/>
    <cellStyle name="Percent 2 24 2" xfId="355" xr:uid="{F7FAEF77-8B4E-4EFB-9435-3EE1A281FC8D}"/>
    <cellStyle name="Percent 2 24 3" xfId="504" xr:uid="{AE137F45-03A8-410A-A510-32BD54256F6A}"/>
    <cellStyle name="Percent 2 24 4" xfId="607" xr:uid="{C150156C-4025-4232-86A6-E338D2223BF5}"/>
    <cellStyle name="Percent 2 24 5" xfId="696" xr:uid="{AED49B8F-0A42-461A-9C46-2E77AC211C61}"/>
    <cellStyle name="Percent 2 25" xfId="157" xr:uid="{E5F14AD7-0483-418D-A9AE-865F16BCF4F3}"/>
    <cellStyle name="Percent 2 25 2" xfId="358" xr:uid="{CAFF1328-42CB-4F2E-AF4D-CC0227EC30D8}"/>
    <cellStyle name="Percent 2 25 3" xfId="507" xr:uid="{D399F1B4-0467-48FE-85A8-A873CA5556E0}"/>
    <cellStyle name="Percent 2 25 4" xfId="610" xr:uid="{BDEC5271-616C-4474-9004-AF3C07B4C195}"/>
    <cellStyle name="Percent 2 25 5" xfId="699" xr:uid="{8740AEA5-D9CF-43EB-B52F-B869EE6D32E9}"/>
    <cellStyle name="Percent 2 26" xfId="161" xr:uid="{270BAC5D-2F85-4A20-8699-68AA88EF2BC8}"/>
    <cellStyle name="Percent 2 26 2" xfId="361" xr:uid="{2F1EF165-30A7-4B3C-8DB9-EFDB933C0C41}"/>
    <cellStyle name="Percent 2 26 3" xfId="511" xr:uid="{3B211565-56F1-4CD0-81E1-FF10D3A8E3CE}"/>
    <cellStyle name="Percent 2 26 4" xfId="613" xr:uid="{F1E66545-6D0F-4A2E-A964-EEE121AA81B9}"/>
    <cellStyle name="Percent 2 26 5" xfId="702" xr:uid="{AE733207-6B2E-42C7-8FD9-3A8D8D9C3D7C}"/>
    <cellStyle name="Percent 2 27" xfId="165" xr:uid="{FEBEA7BD-5AC9-4EB5-8A0C-E40B938EF043}"/>
    <cellStyle name="Percent 2 27 2" xfId="365" xr:uid="{4B8D0046-3E3E-4B6C-BCAD-574063355659}"/>
    <cellStyle name="Percent 2 27 3" xfId="514" xr:uid="{1572D268-E1D5-4FF0-9DDF-2D1550C3A398}"/>
    <cellStyle name="Percent 2 27 4" xfId="616" xr:uid="{5520AB0F-89DF-40DE-9C8D-DB3D0EDF4B44}"/>
    <cellStyle name="Percent 2 27 5" xfId="705" xr:uid="{1E24E6EC-397F-49D5-AC05-4638F1648981}"/>
    <cellStyle name="Percent 2 28" xfId="170" xr:uid="{7A7F51A4-2DBC-45AD-A82C-9F8C339F3A77}"/>
    <cellStyle name="Percent 2 28 2" xfId="370" xr:uid="{AB616950-6842-4E67-9407-0B5DE835F9C8}"/>
    <cellStyle name="Percent 2 28 3" xfId="519" xr:uid="{838F8D06-1AD6-4B94-A2C5-D2CAE42364BE}"/>
    <cellStyle name="Percent 2 28 4" xfId="621" xr:uid="{01AAEA41-0CBE-40AE-8742-11CCFBED286C}"/>
    <cellStyle name="Percent 2 28 5" xfId="710" xr:uid="{9912CA8F-51C9-43D6-A23B-32CCD8B04C39}"/>
    <cellStyle name="Percent 2 29" xfId="173" xr:uid="{E3BE2D0D-BEA1-48AA-970E-9EF3E9D0404F}"/>
    <cellStyle name="Percent 2 29 2" xfId="373" xr:uid="{4E2753CC-5109-40F6-9AC9-8FA7A6F6D483}"/>
    <cellStyle name="Percent 2 29 3" xfId="522" xr:uid="{DAFBE868-3016-4C7E-8CCD-B129F2305219}"/>
    <cellStyle name="Percent 2 29 4" xfId="622" xr:uid="{C3F4A14D-7104-4ADB-A3A2-E6FFC43C95C6}"/>
    <cellStyle name="Percent 2 29 5" xfId="711" xr:uid="{28833828-416F-4BC1-ACD0-D9D98A2D2386}"/>
    <cellStyle name="Percent 2 3" xfId="74" xr:uid="{35300B7D-C646-48A3-9EAA-B910277D4760}"/>
    <cellStyle name="Percent 2 3 2" xfId="230" xr:uid="{6C60A6A7-3FA3-4896-9C89-206CD6E0183A}"/>
    <cellStyle name="Percent 2 3 2 2" xfId="285" xr:uid="{96B13D94-A67F-40F0-AF2D-CB58907342BF}"/>
    <cellStyle name="Percent 2 3 2 3" xfId="435" xr:uid="{2CC46463-3B7F-4D7D-96F0-9176AF7836A8}"/>
    <cellStyle name="Percent 2 3 2 4" xfId="304" xr:uid="{DCF2822D-9542-4EC4-AC93-F8AD67DE8724}"/>
    <cellStyle name="Percent 2 3 2 5" xfId="510" xr:uid="{C54EC188-5CE8-4710-A30F-235ECD17D6C7}"/>
    <cellStyle name="Percent 2 3 3" xfId="376" xr:uid="{15B4E84C-5DA9-4ED2-B26A-736466CF4238}"/>
    <cellStyle name="Percent 2 3 4" xfId="425" xr:uid="{A8D351F7-59E2-492D-89BC-1F8280A3912A}"/>
    <cellStyle name="Percent 2 3 5" xfId="420" xr:uid="{B09B258A-3DBB-4D0C-85CE-53A41489559D}"/>
    <cellStyle name="Percent 2 30" xfId="177" xr:uid="{C11149B6-412D-4AC9-87D6-A57140E240CE}"/>
    <cellStyle name="Percent 2 30 2" xfId="377" xr:uid="{C5809785-C103-4EF2-8BAD-4365249F63E3}"/>
    <cellStyle name="Percent 2 30 3" xfId="526" xr:uid="{BC60BA00-AD0D-40A2-8A0F-5B7778E8A6C3}"/>
    <cellStyle name="Percent 2 30 4" xfId="625" xr:uid="{59B5BB41-F4F9-4B8C-B7FD-BAE40F35B962}"/>
    <cellStyle name="Percent 2 30 5" xfId="714" xr:uid="{5623CA08-BF83-44B5-ACF0-277CC94E43CC}"/>
    <cellStyle name="Percent 2 31" xfId="181" xr:uid="{57783588-4BA2-4FD1-A5D7-C24AA5333031}"/>
    <cellStyle name="Percent 2 31 2" xfId="381" xr:uid="{674F3E6E-57E9-4A30-9CFE-05668773B635}"/>
    <cellStyle name="Percent 2 31 3" xfId="529" xr:uid="{D6A38A38-68EA-41C2-BEA4-02DEE5153152}"/>
    <cellStyle name="Percent 2 31 4" xfId="628" xr:uid="{5E485C63-2011-4884-B83B-B31CA8AA6AAF}"/>
    <cellStyle name="Percent 2 31 5" xfId="717" xr:uid="{7213147C-3153-463C-BD19-AA036E5187CF}"/>
    <cellStyle name="Percent 2 32" xfId="185" xr:uid="{FEE6D6B5-8EA0-4C14-B6C9-CC81297B3B75}"/>
    <cellStyle name="Percent 2 32 2" xfId="385" xr:uid="{95C6E48E-1C1F-48E1-A352-D61F1BAE393C}"/>
    <cellStyle name="Percent 2 32 3" xfId="533" xr:uid="{C05550DC-F9A8-464F-8095-A2CF32AEC692}"/>
    <cellStyle name="Percent 2 32 4" xfId="631" xr:uid="{8529C95D-A89C-4C99-876D-4E278AAD988F}"/>
    <cellStyle name="Percent 2 32 5" xfId="720" xr:uid="{EAC8A975-E088-4511-96B5-C879DE8F1B42}"/>
    <cellStyle name="Percent 2 33" xfId="190" xr:uid="{06FAC580-37D7-4E3C-B913-0378FEE926E9}"/>
    <cellStyle name="Percent 2 33 2" xfId="390" xr:uid="{C9923787-209A-4282-8D4E-46168215E9D7}"/>
    <cellStyle name="Percent 2 33 3" xfId="538" xr:uid="{8CF4F336-C8D5-447E-9038-D104130832A7}"/>
    <cellStyle name="Percent 2 33 4" xfId="636" xr:uid="{46265F57-7D5F-42BB-906E-BDDF72C879C1}"/>
    <cellStyle name="Percent 2 33 5" xfId="725" xr:uid="{A2B4AB75-98A6-48C0-ADEA-8A64F0CFEA0E}"/>
    <cellStyle name="Percent 2 34" xfId="193" xr:uid="{372A3C4D-1B40-4584-BACF-B254299BDA4F}"/>
    <cellStyle name="Percent 2 34 2" xfId="393" xr:uid="{0BB61232-ADAB-4155-82C0-E1FA03DE45B5}"/>
    <cellStyle name="Percent 2 34 3" xfId="541" xr:uid="{7E840086-7CB5-4C3C-B6AC-2E376D23D62F}"/>
    <cellStyle name="Percent 2 34 4" xfId="637" xr:uid="{56AD2369-9A2C-462A-BF08-35CBF1D43F4B}"/>
    <cellStyle name="Percent 2 34 5" xfId="726" xr:uid="{EC12DFEF-0070-49FA-83C7-642BA7734811}"/>
    <cellStyle name="Percent 2 35" xfId="197" xr:uid="{8CA50AA6-DCF4-4DA5-842E-DF98822BDDD9}"/>
    <cellStyle name="Percent 2 35 2" xfId="397" xr:uid="{B807732A-D5C0-4A47-A67D-8CD7A0C0F5D4}"/>
    <cellStyle name="Percent 2 35 3" xfId="545" xr:uid="{C8377B53-3B02-4D34-8802-752E5CBC816B}"/>
    <cellStyle name="Percent 2 35 4" xfId="640" xr:uid="{B5D82BDE-539A-4D22-96F6-00716CF690B0}"/>
    <cellStyle name="Percent 2 35 5" xfId="729" xr:uid="{A36D6991-FF70-4AF1-ACDF-402C556ECC08}"/>
    <cellStyle name="Percent 2 36" xfId="201" xr:uid="{9D4A6D86-F461-4321-BEDE-657D7B779A92}"/>
    <cellStyle name="Percent 2 36 2" xfId="399" xr:uid="{53010F94-1988-4736-B35D-520E6CA75B54}"/>
    <cellStyle name="Percent 2 36 3" xfId="548" xr:uid="{A886E4D5-640A-4195-BAB8-DF6DB65BFDFD}"/>
    <cellStyle name="Percent 2 36 4" xfId="642" xr:uid="{B8C5041B-DC23-4CBC-AE76-28B4580CC8A2}"/>
    <cellStyle name="Percent 2 36 5" xfId="731" xr:uid="{8AC57FB5-A41C-41A3-A155-C70D56EB6252}"/>
    <cellStyle name="Percent 2 37" xfId="205" xr:uid="{F1261AC0-BFBD-4DCC-9613-9BB2C5C5A808}"/>
    <cellStyle name="Percent 2 37 2" xfId="403" xr:uid="{9D83FD4C-94C1-4D1D-9A25-7935506B40EE}"/>
    <cellStyle name="Percent 2 37 3" xfId="551" xr:uid="{4DA4C2A9-5EB4-4003-BA36-16A1D6DA5FC1}"/>
    <cellStyle name="Percent 2 37 4" xfId="645" xr:uid="{1095D5D0-1A1A-4B65-B0D0-E23CECA36EC1}"/>
    <cellStyle name="Percent 2 37 5" xfId="734" xr:uid="{65539C05-55F1-4087-973D-7F089E5EE910}"/>
    <cellStyle name="Percent 2 38" xfId="209" xr:uid="{860697AA-3093-47D3-B522-34AF465367EE}"/>
    <cellStyle name="Percent 2 39" xfId="213" xr:uid="{1F8E45BE-A917-4EF6-8F92-822043A51D0E}"/>
    <cellStyle name="Percent 2 4" xfId="77" xr:uid="{CBA524D7-9883-4EE2-8E3A-242BCB076CEA}"/>
    <cellStyle name="Percent 2 4 2" xfId="231" xr:uid="{21902DA4-2CDD-4283-8EB8-8FD022F0FC77}"/>
    <cellStyle name="Percent 2 4 2 2" xfId="286" xr:uid="{BD29584C-1334-41AF-B671-148DB3671A6F}"/>
    <cellStyle name="Percent 2 4 2 3" xfId="436" xr:uid="{4DB585C0-7675-4A26-9537-A4F41BF6716F}"/>
    <cellStyle name="Percent 2 4 2 4" xfId="308" xr:uid="{4033F9ED-7F88-4031-A32D-093CA7DC59E9}"/>
    <cellStyle name="Percent 2 4 2 5" xfId="520" xr:uid="{CD49D5A8-8487-48F2-A30D-5B3206C796B9}"/>
    <cellStyle name="Percent 2 4 3" xfId="284" xr:uid="{6790A9FE-1CD2-49D1-BECA-A2E5E3C4805A}"/>
    <cellStyle name="Percent 2 4 4" xfId="424" xr:uid="{C60FE742-AC0D-4AFE-A335-5000F5C38DEB}"/>
    <cellStyle name="Percent 2 4 5" xfId="421" xr:uid="{2AB410A2-73AB-4FE7-B7AF-ADFB0E8CF92E}"/>
    <cellStyle name="Percent 2 40" xfId="218" xr:uid="{F54027F5-6074-4164-9257-35C683E1BE10}"/>
    <cellStyle name="Percent 2 41" xfId="223" xr:uid="{CFA8497D-DA8B-437C-B06A-4763C459FDB0}"/>
    <cellStyle name="Percent 2 42" xfId="555" xr:uid="{A442230F-A5DD-47E9-B967-2C4809BE8129}"/>
    <cellStyle name="Percent 2 43" xfId="649" xr:uid="{17DB8832-65F4-4A3C-884C-A4F951C1A5E8}"/>
    <cellStyle name="Percent 2 44" xfId="63" xr:uid="{D94608AE-B94C-4411-A00A-636CD1B06BE2}"/>
    <cellStyle name="Percent 2 5" xfId="80" xr:uid="{55BCC458-5633-431B-80E7-DFBA6956ECF1}"/>
    <cellStyle name="Percent 2 5 2" xfId="277" xr:uid="{B83B6A3F-9F3D-4FE9-A66B-46AA33119D59}"/>
    <cellStyle name="Percent 2 5 3" xfId="430" xr:uid="{1130739F-CB2F-4146-8CDA-2B6026252181}"/>
    <cellStyle name="Percent 2 5 4" xfId="415" xr:uid="{EDC91E0A-984D-4589-B202-4A5281BE3344}"/>
    <cellStyle name="Percent 2 5 5" xfId="487" xr:uid="{609D447F-7362-4F41-8567-08FA738161C0}"/>
    <cellStyle name="Percent 2 6" xfId="83" xr:uid="{F4357E8C-E005-4589-8800-01753F619BB0}"/>
    <cellStyle name="Percent 2 6 2" xfId="290" xr:uid="{9F8C2868-5E4A-48B7-A4EB-51F420346986}"/>
    <cellStyle name="Percent 2 6 3" xfId="439" xr:uid="{0B4B3FED-0BA8-4F66-B02C-ECD4B2C9A519}"/>
    <cellStyle name="Percent 2 6 4" xfId="326" xr:uid="{9BFCCECC-6E5E-475C-9906-D5DB510B0816}"/>
    <cellStyle name="Percent 2 6 5" xfId="532" xr:uid="{D8A5D75D-4CB8-4DD9-B5C9-FEC4CF3F29F6}"/>
    <cellStyle name="Percent 2 7" xfId="87" xr:uid="{4136380E-B081-44B0-A969-64A3C7319A6D}"/>
    <cellStyle name="Percent 2 7 2" xfId="294" xr:uid="{B22F6131-CEFA-4932-98F8-D8608702F6A1}"/>
    <cellStyle name="Percent 2 7 3" xfId="443" xr:uid="{E4F615A3-3FE6-42E9-9ED3-61595DB6DC6B}"/>
    <cellStyle name="Percent 2 7 4" xfId="338" xr:uid="{6A13545E-867B-4896-A3D8-76734AB97504}"/>
    <cellStyle name="Percent 2 7 5" xfId="547" xr:uid="{51F38535-1428-42DB-BA86-B6C51B136127}"/>
    <cellStyle name="Percent 2 8" xfId="89" xr:uid="{8A0E85BD-7E6C-4665-A98B-5CAE4AE08A5A}"/>
    <cellStyle name="Percent 2 8 2" xfId="296" xr:uid="{7CCE252C-A037-48FC-BAFB-7E0EB12F12BB}"/>
    <cellStyle name="Percent 2 8 3" xfId="445" xr:uid="{979430B4-3F80-42C6-8FC8-1968FD47D723}"/>
    <cellStyle name="Percent 2 8 4" xfId="346" xr:uid="{92D6EF60-638B-40AE-A3DC-0AAB82A9AE01}"/>
    <cellStyle name="Percent 2 8 5" xfId="556" xr:uid="{A1BF30D9-7E8E-4EB7-8B7F-F4218EEF6A3E}"/>
    <cellStyle name="Percent 2 9" xfId="93" xr:uid="{79AC61DE-3DF9-4835-B41D-59AE8ADDF42A}"/>
    <cellStyle name="Percent 2 9 2" xfId="299" xr:uid="{0ED90FCF-42D2-40CB-83F8-AFCBEFB9BE13}"/>
    <cellStyle name="Percent 2 9 3" xfId="449" xr:uid="{1F2AF186-E5F7-4288-A417-50C8386E2CBC}"/>
    <cellStyle name="Percent 2 9 4" xfId="561" xr:uid="{0DB6B19F-AE40-4639-81A3-AB6C0DF33F0D}"/>
    <cellStyle name="Percent 2 9 5" xfId="651" xr:uid="{5DF6868A-9509-4DC5-82DA-EC2582839EDD}"/>
    <cellStyle name="Percent 3" xfId="62" xr:uid="{91D82B41-B09C-48BD-9D6D-F5C4AF9A2F51}"/>
    <cellStyle name="Standard_DataRequirements_V3.92" xfId="9" xr:uid="{00000000-0005-0000-0000-00000C000000}"/>
    <cellStyle name="Style 1" xfId="64" xr:uid="{4C52C17E-28FB-4BF4-A611-46434D736875}"/>
    <cellStyle name="Title 2" xfId="278" xr:uid="{DF48A5B9-A84C-4B7C-8475-C758491B54DB}"/>
    <cellStyle name="Title 3" xfId="786" xr:uid="{9F683E74-B773-49E6-B265-CD460B207FDB}"/>
    <cellStyle name="Title 4" xfId="65" xr:uid="{A2387874-242B-45F7-B6F3-2A13B198CE3C}"/>
    <cellStyle name="Total 2" xfId="279" xr:uid="{FD8CEF0A-D162-40A5-B905-56F2F0F606FA}"/>
    <cellStyle name="Total 2 2" xfId="431" xr:uid="{2B3F9129-0DF0-433E-98BE-556A0E2F17AD}"/>
    <cellStyle name="Total 2 3" xfId="414" xr:uid="{C3DC408A-28BB-45D0-A00C-5E7AC000DC66}"/>
    <cellStyle name="Total 2 4" xfId="488" xr:uid="{76A27880-09EF-4757-BF18-E85E6DB9CF99}"/>
    <cellStyle name="Total 3" xfId="787" xr:uid="{B8DA280A-5826-46EB-9747-17508461A3E8}"/>
    <cellStyle name="Total 4" xfId="66" xr:uid="{D483731C-3630-4E4C-9FD6-29CE065AD3C4}"/>
    <cellStyle name="Warning Text 2" xfId="280" xr:uid="{346405FE-5B4F-418D-8815-D948D3D3F051}"/>
    <cellStyle name="Warning Text 3" xfId="788" xr:uid="{F01E3D03-9112-4670-A8C2-094F63BE9C2B}"/>
    <cellStyle name="Warning Text 4" xfId="67" xr:uid="{5EE48122-A3CD-4C20-B94B-D8D5F790DD3D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E6E6E6"/>
      <rgbColor rgb="00C3CFE1"/>
      <rgbColor rgb="006685B3"/>
      <rgbColor rgb="00FFAA1F"/>
      <rgbColor rgb="0000337F"/>
      <rgbColor rgb="004F4F4F"/>
      <rgbColor rgb="00000000"/>
      <rgbColor rgb="00FFFFFF"/>
      <rgbColor rgb="00E6E6E6"/>
      <rgbColor rgb="00C3CFE1"/>
      <rgbColor rgb="006685B3"/>
      <rgbColor rgb="00FFAA1F"/>
      <rgbColor rgb="0000337F"/>
      <rgbColor rgb="004F4F4F"/>
      <rgbColor rgb="00000000"/>
      <rgbColor rgb="00FFFFFF"/>
      <rgbColor rgb="0000CCFF"/>
      <rgbColor rgb="0000337F"/>
      <rgbColor rgb="00FFAA1F"/>
      <rgbColor rgb="006685B3"/>
      <rgbColor rgb="004F4F4F"/>
      <rgbColor rgb="00E6E6E6"/>
      <rgbColor rgb="00000000"/>
      <rgbColor rgb="00C3CFE1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66FF"/>
      <color rgb="FF00FFFF"/>
      <color rgb="FF99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externalLink" Target="externalLinks/externalLink6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17" Type="http://schemas.microsoft.com/office/2017/10/relationships/person" Target="persons/perso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https://ancomorgro-my.sharepoint.com/personal/corina_voicu_ancom_ro/Documents/Desktop/LEGISLATIE/Servicii%20postale_CNPR/PRICE%20CAP%20servicii%20postale/SFS%20CNPR/2021/SFS%202021%20text%20si%20anexe/Anexa%204.10%20Alte%20cheltuieli%20pe%20segmente%20de%20afaceri.xlsx" TargetMode="External"/><Relationship Id="rId2" Type="http://schemas.microsoft.com/office/2019/04/relationships/externalLinkLongPath" Target="/personal/corina_voicu_ancom_ro/Documents/Desktop/LEGISLATIE/Servicii%20postale_CNPR/PRICE%20CAP%20servicii%20postale/SFS%20CNPR/2021/SFS%202021%20text%20si%20anexe/Anexa%204.10%20Alte%20cheltuieli%20pe%20segmente%20de%20afaceri.xlsx?B7362C9E" TargetMode="External"/><Relationship Id="rId1" Type="http://schemas.openxmlformats.org/officeDocument/2006/relationships/externalLinkPath" Target="file:///\\B7362C9E\Anexa%204.10%20Alte%20cheltuieli%20pe%20segmente%20de%20afaceri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ncomorgro-my.sharepoint.com/personal/corina_voicu_ancom_ro/Documents/Desktop/LEGISLATIE/Servicii%20postale_CNPR/PRICE%20CAP%20servicii%20postale/SFS%20CNPR/2020/Text%20si%20anexe/Anexa%204.10%20SFS%202020.xlsx" TargetMode="External"/><Relationship Id="rId1" Type="http://schemas.openxmlformats.org/officeDocument/2006/relationships/externalLinkPath" Target="/personal/corina_voicu_ancom_ro/Documents/Desktop/LEGISLATIE/Servicii%20postale_CNPR/PRICE%20CAP%20servicii%20postale/SFS%20CNPR/2020/Text%20si%20anexe/Anexa%204.10%20SFS%202020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ncomorgro-my.sharepoint.com/personal/corina_voicu_ancom_ro/Documents/Desktop/LEGISLATIE/Servicii%20postale_CNPR/PRICE%20CAP%20servicii%20postale/SFS%20CNPR/2022/TABELE%20SFS%202022.xlsb" TargetMode="External"/><Relationship Id="rId1" Type="http://schemas.openxmlformats.org/officeDocument/2006/relationships/externalLinkPath" Target="/personal/corina_voicu_ancom_ro/Documents/Desktop/LEGISLATIE/Servicii%20postale_CNPR/PRICE%20CAP%20servicii%20postale/SFS%20CNPR/2022/TABELE%20SFS%202022.xlsb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ncomorgro-my.sharepoint.com/personal/corina_voicu_ancom_ro/Documents/Desktop/LEGISLATIE/Servicii%20postale_CNPR/PRICE%20CAP%20servicii%20postale/SFS%20CNPR/2023/Fisiere%20de%20calcul/TABELE%20SFS%202023.xlsb" TargetMode="External"/><Relationship Id="rId1" Type="http://schemas.openxmlformats.org/officeDocument/2006/relationships/externalLinkPath" Target="/personal/corina_voicu_ancom_ro/Documents/Desktop/LEGISLATIE/Servicii%20postale_CNPR/PRICE%20CAP%20servicii%20postale/SFS%20CNPR/2023/Fisiere%20de%20calcul/TABELE%20SFS%202023.xlsb" TargetMode="External"/></Relationships>
</file>

<file path=xl/externalLinks/_rels/externalLink5.xml.rels><?xml version="1.0" encoding="UTF-8" standalone="yes"?>
<Relationships xmlns="http://schemas.openxmlformats.org/package/2006/relationships"><Relationship Id="rId3" Type="http://schemas.openxmlformats.org/officeDocument/2006/relationships/externalLinkPath" Target="https://ancomorgro-my.sharepoint.com/personal/corina_voicu_ancom_ro/Documents/Desktop/LEGISLATIE/Servicii%20postale_CNPR/PRICE%20CAP%20servicii%20postale/SFS%20CNPR/2024/Text%20si%20anexe/Anexa%204.10%20Situatia%20altor%20cheltuieli%20operationale%202024.xlsx" TargetMode="External"/><Relationship Id="rId2" Type="http://schemas.microsoft.com/office/2019/04/relationships/externalLinkLongPath" Target="/personal/corina_voicu_ancom_ro/Documents/Desktop/LEGISLATIE/Servicii%20postale_CNPR/PRICE%20CAP%20servicii%20postale/SFS%20CNPR/2024/Text%20si%20anexe/Anexa%204.10%20Situatia%20altor%20cheltuieli%20operationale%202024.xlsx?BAEECE7C" TargetMode="External"/><Relationship Id="rId1" Type="http://schemas.openxmlformats.org/officeDocument/2006/relationships/externalLinkPath" Target="file:///\\BAEECE7C\Anexa%204.10%20Situatia%20altor%20cheltuieli%20operationale%202024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ncomorgro-my.sharepoint.com/personal/corina_voicu_ancom_ro/Documents/Desktop/LEGISLATIE/Servicii%20postale_CNPR/PRICE%20CAP%20servicii%20postale/Price%20cap%20CNPR_desemnare%202019_2024/Calcul%20X%20si%20Z_public.xlsx" TargetMode="External"/><Relationship Id="rId1" Type="http://schemas.openxmlformats.org/officeDocument/2006/relationships/externalLinkPath" Target="/personal/corina_voicu_ancom_ro/Documents/Desktop/LEGISLATIE/Servicii%20postale_CNPR/PRICE%20CAP%20servicii%20postale/Price%20cap%20CNPR_desemnare%202019_2024/Calcul%20X%20si%20Z_publi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Anexa 4.10"/>
    </sheetNames>
    <sheetDataSet>
      <sheetData sheetId="0">
        <row r="18">
          <cell r="F18">
            <v>9008308.9991892502</v>
          </cell>
        </row>
        <row r="20">
          <cell r="F20">
            <v>1307415.1199998038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nexa 4.10"/>
    </sheetNames>
    <sheetDataSet>
      <sheetData sheetId="0">
        <row r="18">
          <cell r="F18">
            <v>13640899.005456366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nexe4.1 si 4.2"/>
      <sheetName val="Anexe 4.3 si 4.4"/>
      <sheetName val="Anexa 4.5"/>
      <sheetName val="ANEXA 4.7"/>
      <sheetName val="Anexa 4.8"/>
      <sheetName val="Anexa4.9"/>
      <sheetName val="Anexa 4.10"/>
      <sheetName val="Anexa 4.11"/>
      <sheetName val="Anexa 4.11.1"/>
      <sheetName val="Anexa 4.12"/>
      <sheetName val="Anexa 4.14.1"/>
      <sheetName val="Anexa 4.14.2"/>
      <sheetName val="Anexa 5.1"/>
      <sheetName val="Anexa 5.1.1"/>
      <sheetName val="Anexa 5.1.2"/>
      <sheetName val="Tabela Produse SPU ANEXA 6"/>
      <sheetName val="Anexa 7.1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>
        <row r="18">
          <cell r="F18">
            <v>18670146.189066485</v>
          </cell>
        </row>
        <row r="20">
          <cell r="F20">
            <v>1504295.2399998596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nexe4.1 si 4.2"/>
      <sheetName val="Anexe 4.3 si 4.4"/>
      <sheetName val="Anexa 4.5"/>
      <sheetName val="ANEXA 4.7"/>
      <sheetName val="Anexa 4.8"/>
      <sheetName val="Anexa4.9"/>
      <sheetName val="Anexa 4.10"/>
      <sheetName val="Anexa 4.11"/>
      <sheetName val="Anexa 4.11.1"/>
      <sheetName val="Anexa 4.12"/>
      <sheetName val="Anexa 4.14.1"/>
      <sheetName val="Anexa 4.14.2"/>
      <sheetName val="Anexa 5.1"/>
      <sheetName val="Anexa 5.1.1"/>
      <sheetName val="Anexa 5.1.2"/>
      <sheetName val="Tabela Produse SPU ANEXA 6"/>
      <sheetName val="Anexa 7.1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>
        <row r="18">
          <cell r="F18">
            <v>22248278.548442617</v>
          </cell>
        </row>
        <row r="20">
          <cell r="F20">
            <v>1342578.8300000115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Anexa 4.10"/>
    </sheetNames>
    <sheetDataSet>
      <sheetData sheetId="0">
        <row r="18">
          <cell r="F18">
            <v>15553086.487286732</v>
          </cell>
        </row>
        <row r="20">
          <cell r="F20">
            <v>948613.59999998589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utputuri"/>
      <sheetName val="Indicii prețurilor"/>
      <sheetName val="Muncă"/>
      <sheetName val="Materiale"/>
      <sheetName val="Capital angajat"/>
      <sheetName val="Costul Capitalului"/>
      <sheetName val="X&amp;Z Factor"/>
      <sheetName val="grafic X si Z"/>
    </sheetNames>
    <sheetDataSet>
      <sheetData sheetId="0" refreshError="1"/>
      <sheetData sheetId="1" refreshError="1"/>
      <sheetData sheetId="2">
        <row r="5">
          <cell r="C5">
            <v>883340943.0393796</v>
          </cell>
          <cell r="D5">
            <v>820661560.06638539</v>
          </cell>
          <cell r="E5">
            <v>432178166.67906129</v>
          </cell>
          <cell r="F5">
            <v>823501552.45704925</v>
          </cell>
          <cell r="G5">
            <v>265491035.27514961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2" tint="-9.9978637043366805E-2"/>
    <pageSetUpPr fitToPage="1"/>
  </sheetPr>
  <dimension ref="B1:N74"/>
  <sheetViews>
    <sheetView zoomScaleNormal="100" workbookViewId="0">
      <pane xSplit="2" ySplit="4" topLeftCell="C68" activePane="bottomRight" state="frozen"/>
      <selection pane="topRight" activeCell="C1" sqref="C1"/>
      <selection pane="bottomLeft" activeCell="A4" sqref="A4"/>
      <selection pane="bottomRight" activeCell="K7" sqref="K7"/>
    </sheetView>
  </sheetViews>
  <sheetFormatPr defaultColWidth="9.109375" defaultRowHeight="13.2"/>
  <cols>
    <col min="1" max="1" width="3.6640625" style="1" customWidth="1"/>
    <col min="2" max="2" width="53" style="1" customWidth="1"/>
    <col min="3" max="6" width="13.44140625" style="1" bestFit="1" customWidth="1"/>
    <col min="7" max="7" width="15.5546875" style="1" customWidth="1"/>
    <col min="8" max="13" width="14" style="1" bestFit="1" customWidth="1"/>
    <col min="14" max="16384" width="9.109375" style="1"/>
  </cols>
  <sheetData>
    <row r="1" spans="2:9" s="143" customFormat="1">
      <c r="B1" s="173" t="s">
        <v>181</v>
      </c>
    </row>
    <row r="2" spans="2:9" ht="27" customHeight="1">
      <c r="B2" s="85" t="s">
        <v>103</v>
      </c>
    </row>
    <row r="3" spans="2:9" ht="15.6">
      <c r="G3" s="256"/>
    </row>
    <row r="4" spans="2:9">
      <c r="B4" s="74" t="s">
        <v>114</v>
      </c>
      <c r="C4" s="23">
        <v>2020</v>
      </c>
      <c r="D4" s="23">
        <v>2021</v>
      </c>
      <c r="E4" s="23">
        <v>2022</v>
      </c>
      <c r="F4" s="23">
        <v>2023</v>
      </c>
      <c r="G4" s="292">
        <v>2024</v>
      </c>
    </row>
    <row r="5" spans="2:9">
      <c r="B5" s="186" t="s">
        <v>175</v>
      </c>
      <c r="C5" s="323">
        <f ca="1">RAND()*200000000</f>
        <v>198288231.30750984</v>
      </c>
      <c r="D5" s="323">
        <f t="shared" ref="D5:G5" ca="1" si="0">RAND()*200000000</f>
        <v>132003500.04783243</v>
      </c>
      <c r="E5" s="323">
        <f t="shared" ca="1" si="0"/>
        <v>155459114.41887638</v>
      </c>
      <c r="F5" s="323">
        <f t="shared" ca="1" si="0"/>
        <v>197926127.74250123</v>
      </c>
      <c r="G5" s="323">
        <f t="shared" ca="1" si="0"/>
        <v>40383787.10127937</v>
      </c>
    </row>
    <row r="6" spans="2:9">
      <c r="B6" s="187" t="s">
        <v>176</v>
      </c>
      <c r="C6" s="230">
        <f ca="1">RAND()*100000000</f>
        <v>28806623.915003736</v>
      </c>
      <c r="D6" s="230">
        <f t="shared" ref="D6:G6" ca="1" si="1">RAND()*100000000</f>
        <v>44737026.249901049</v>
      </c>
      <c r="E6" s="230">
        <f t="shared" ca="1" si="1"/>
        <v>95736820.071381673</v>
      </c>
      <c r="F6" s="230">
        <f t="shared" ca="1" si="1"/>
        <v>83600213.850063056</v>
      </c>
      <c r="G6" s="230">
        <f t="shared" ca="1" si="1"/>
        <v>36644902.662542492</v>
      </c>
    </row>
    <row r="7" spans="2:9">
      <c r="B7" s="188" t="s">
        <v>177</v>
      </c>
      <c r="C7" s="315">
        <f ca="1">RAND()*1000000</f>
        <v>452225.2357236325</v>
      </c>
      <c r="D7" s="315">
        <f t="shared" ref="D7:G7" ca="1" si="2">RAND()*1000000</f>
        <v>13837.269464559877</v>
      </c>
      <c r="E7" s="315">
        <f t="shared" ca="1" si="2"/>
        <v>173108.84155883998</v>
      </c>
      <c r="F7" s="315">
        <f t="shared" ca="1" si="2"/>
        <v>658015.51265062997</v>
      </c>
      <c r="G7" s="315">
        <f t="shared" ca="1" si="2"/>
        <v>493126.65109423181</v>
      </c>
    </row>
    <row r="8" spans="2:9">
      <c r="B8" s="189" t="s">
        <v>10</v>
      </c>
      <c r="C8" s="231">
        <f ca="1">RAND()*100000000</f>
        <v>2303036.8006333625</v>
      </c>
      <c r="D8" s="231">
        <f t="shared" ref="D8:G9" ca="1" si="3">RAND()*100000000</f>
        <v>6922207.8567526937</v>
      </c>
      <c r="E8" s="231">
        <f t="shared" ca="1" si="3"/>
        <v>58407028.873455867</v>
      </c>
      <c r="F8" s="231">
        <f t="shared" ca="1" si="3"/>
        <v>91376298.518232375</v>
      </c>
      <c r="G8" s="231">
        <f t="shared" ca="1" si="3"/>
        <v>78425229.97493358</v>
      </c>
    </row>
    <row r="9" spans="2:9">
      <c r="B9" s="190" t="s">
        <v>11</v>
      </c>
      <c r="C9" s="232">
        <f ca="1">RAND()*100000000</f>
        <v>97355450.130571708</v>
      </c>
      <c r="D9" s="232">
        <f t="shared" ca="1" si="3"/>
        <v>42691074.45369608</v>
      </c>
      <c r="E9" s="232">
        <f t="shared" ca="1" si="3"/>
        <v>20797135.266508371</v>
      </c>
      <c r="F9" s="232">
        <f t="shared" ca="1" si="3"/>
        <v>1336434.8239375935</v>
      </c>
      <c r="G9" s="232">
        <f t="shared" ca="1" si="3"/>
        <v>3282715.8288272205</v>
      </c>
    </row>
    <row r="10" spans="2:9">
      <c r="B10" s="191" t="s">
        <v>18</v>
      </c>
      <c r="C10" s="324">
        <f ca="1">RAND()*1000000</f>
        <v>240815.5120981338</v>
      </c>
      <c r="D10" s="324">
        <f t="shared" ref="D10:G10" ca="1" si="4">RAND()*1000000</f>
        <v>903687.09130006458</v>
      </c>
      <c r="E10" s="324">
        <f t="shared" ca="1" si="4"/>
        <v>980579.85847759165</v>
      </c>
      <c r="F10" s="324">
        <f t="shared" ca="1" si="4"/>
        <v>629951.02822927712</v>
      </c>
      <c r="G10" s="324">
        <f t="shared" ca="1" si="4"/>
        <v>907104.33935537143</v>
      </c>
    </row>
    <row r="11" spans="2:9">
      <c r="B11" s="192" t="s">
        <v>12</v>
      </c>
      <c r="C11" s="325">
        <f ca="1">RAND()*100000000</f>
        <v>70471198.479658023</v>
      </c>
      <c r="D11" s="325">
        <f t="shared" ref="D11:G13" ca="1" si="5">RAND()*100000000</f>
        <v>12230401.028188264</v>
      </c>
      <c r="E11" s="325">
        <f t="shared" ca="1" si="5"/>
        <v>71309178.809391811</v>
      </c>
      <c r="F11" s="325">
        <f t="shared" ca="1" si="5"/>
        <v>24720901.505364057</v>
      </c>
      <c r="G11" s="325">
        <f t="shared" ca="1" si="5"/>
        <v>33662832.543861911</v>
      </c>
    </row>
    <row r="12" spans="2:9">
      <c r="B12" s="193" t="s">
        <v>13</v>
      </c>
      <c r="C12" s="326">
        <f ca="1">RAND()*100000000</f>
        <v>22526126.618684839</v>
      </c>
      <c r="D12" s="326">
        <f t="shared" ca="1" si="5"/>
        <v>39664783.608005382</v>
      </c>
      <c r="E12" s="326">
        <f t="shared" ca="1" si="5"/>
        <v>22401688.240981478</v>
      </c>
      <c r="F12" s="326">
        <f t="shared" ca="1" si="5"/>
        <v>13109317.835437095</v>
      </c>
      <c r="G12" s="326">
        <f t="shared" ca="1" si="5"/>
        <v>40060805.583510108</v>
      </c>
    </row>
    <row r="13" spans="2:9">
      <c r="B13" s="195" t="s">
        <v>14</v>
      </c>
      <c r="C13" s="233">
        <f ca="1">RAND()*100000000</f>
        <v>64475846.140770108</v>
      </c>
      <c r="D13" s="233">
        <f t="shared" ca="1" si="5"/>
        <v>6081730.0080631245</v>
      </c>
      <c r="E13" s="233">
        <f t="shared" ca="1" si="5"/>
        <v>83669891.107269883</v>
      </c>
      <c r="F13" s="233">
        <f t="shared" ca="1" si="5"/>
        <v>48480704.27053237</v>
      </c>
      <c r="G13" s="233">
        <f t="shared" ca="1" si="5"/>
        <v>84458411.646642223</v>
      </c>
    </row>
    <row r="14" spans="2:9">
      <c r="B14" s="150" t="s">
        <v>17</v>
      </c>
      <c r="C14" s="229">
        <v>0</v>
      </c>
      <c r="D14" s="229">
        <v>0</v>
      </c>
      <c r="E14" s="229">
        <v>0</v>
      </c>
      <c r="F14" s="229">
        <v>0</v>
      </c>
      <c r="G14" s="229">
        <v>0</v>
      </c>
    </row>
    <row r="15" spans="2:9">
      <c r="B15" s="194" t="s">
        <v>15</v>
      </c>
      <c r="C15" s="234">
        <f ca="1">RAND()*100000000</f>
        <v>68870592.36652261</v>
      </c>
      <c r="D15" s="234">
        <f t="shared" ref="D15:G16" ca="1" si="6">RAND()*100000000</f>
        <v>7240841.5365768811</v>
      </c>
      <c r="E15" s="234">
        <f t="shared" ca="1" si="6"/>
        <v>33408394.024809651</v>
      </c>
      <c r="F15" s="234">
        <f t="shared" ca="1" si="6"/>
        <v>33071076.193586145</v>
      </c>
      <c r="G15" s="234">
        <f t="shared" ca="1" si="6"/>
        <v>54292120.705111645</v>
      </c>
      <c r="I15" s="171"/>
    </row>
    <row r="16" spans="2:9">
      <c r="B16" s="228" t="s">
        <v>169</v>
      </c>
      <c r="C16" s="316">
        <f ca="1">RAND()*100000000</f>
        <v>90223695.440369517</v>
      </c>
      <c r="D16" s="316">
        <f t="shared" ca="1" si="6"/>
        <v>66757940.554768957</v>
      </c>
      <c r="E16" s="316">
        <f t="shared" ca="1" si="6"/>
        <v>36743549.940351263</v>
      </c>
      <c r="F16" s="316">
        <f t="shared" ca="1" si="6"/>
        <v>37402653.465710908</v>
      </c>
      <c r="G16" s="316">
        <f t="shared" ca="1" si="6"/>
        <v>48160140.277490474</v>
      </c>
      <c r="I16" s="171"/>
    </row>
    <row r="17" spans="2:14">
      <c r="B17" s="46" t="s">
        <v>16</v>
      </c>
      <c r="C17" s="327">
        <f ca="1">SUM(C5:C16)</f>
        <v>644013841.94754541</v>
      </c>
      <c r="D17" s="328">
        <f ca="1">SUM(D5:D16)</f>
        <v>359247029.70454949</v>
      </c>
      <c r="E17" s="328">
        <f ca="1">SUM(E5:E16)</f>
        <v>579086489.45306277</v>
      </c>
      <c r="F17" s="328">
        <f ca="1">SUM(F5:F16)</f>
        <v>532311694.74624479</v>
      </c>
      <c r="G17" s="328">
        <f ca="1">SUM(G5:G16)</f>
        <v>420771177.31464863</v>
      </c>
      <c r="H17" s="171"/>
      <c r="I17" s="171"/>
      <c r="J17" s="171"/>
      <c r="K17" s="171"/>
      <c r="L17" s="171"/>
      <c r="M17" s="171"/>
      <c r="N17" s="171"/>
    </row>
    <row r="18" spans="2:14">
      <c r="B18" s="6"/>
      <c r="C18" s="6"/>
      <c r="D18" s="6"/>
      <c r="E18" s="6"/>
      <c r="F18" s="30"/>
      <c r="G18" s="255"/>
    </row>
    <row r="19" spans="2:14">
      <c r="B19" s="74" t="s">
        <v>108</v>
      </c>
      <c r="C19" s="7"/>
      <c r="D19" s="7"/>
      <c r="E19" s="7"/>
      <c r="F19" s="7"/>
      <c r="G19" s="244"/>
    </row>
    <row r="20" spans="2:14">
      <c r="B20" s="150" t="s">
        <v>9</v>
      </c>
      <c r="C20" s="185">
        <f t="shared" ref="C20:G31" ca="1" si="7">C5/C$17</f>
        <v>0.30789436249983632</v>
      </c>
      <c r="D20" s="185">
        <f t="shared" ca="1" si="7"/>
        <v>0.36744493101695014</v>
      </c>
      <c r="E20" s="185">
        <f t="shared" ca="1" si="7"/>
        <v>0.26845577862765341</v>
      </c>
      <c r="F20" s="185">
        <f t="shared" ca="1" si="7"/>
        <v>0.37182374480210029</v>
      </c>
      <c r="G20" s="257">
        <f t="shared" ca="1" si="7"/>
        <v>9.5975649660719906E-2</v>
      </c>
    </row>
    <row r="21" spans="2:14">
      <c r="B21" s="150" t="s">
        <v>8</v>
      </c>
      <c r="C21" s="185">
        <f t="shared" ca="1" si="7"/>
        <v>4.4729821067029212E-2</v>
      </c>
      <c r="D21" s="185">
        <f t="shared" ca="1" si="7"/>
        <v>0.12452998229851335</v>
      </c>
      <c r="E21" s="185">
        <f t="shared" ca="1" si="7"/>
        <v>0.1653238709848048</v>
      </c>
      <c r="F21" s="185">
        <f t="shared" ca="1" si="7"/>
        <v>0.15705124398951187</v>
      </c>
      <c r="G21" s="257">
        <f t="shared" ca="1" si="7"/>
        <v>8.7089859377748657E-2</v>
      </c>
    </row>
    <row r="22" spans="2:14">
      <c r="B22" s="150" t="s">
        <v>19</v>
      </c>
      <c r="C22" s="185">
        <f t="shared" ca="1" si="7"/>
        <v>7.0219800611128174E-4</v>
      </c>
      <c r="D22" s="185">
        <f t="shared" ca="1" si="7"/>
        <v>3.8517422053398378E-5</v>
      </c>
      <c r="E22" s="185">
        <f t="shared" ca="1" si="7"/>
        <v>2.9893434696143283E-4</v>
      </c>
      <c r="F22" s="185">
        <f t="shared" ca="1" si="7"/>
        <v>1.2361470152638836E-3</v>
      </c>
      <c r="G22" s="257">
        <f t="shared" ca="1" si="7"/>
        <v>1.1719591970185649E-3</v>
      </c>
    </row>
    <row r="23" spans="2:14">
      <c r="B23" s="150" t="s">
        <v>10</v>
      </c>
      <c r="C23" s="185">
        <f t="shared" ca="1" si="7"/>
        <v>3.5760672374196326E-3</v>
      </c>
      <c r="D23" s="185">
        <f t="shared" ca="1" si="7"/>
        <v>1.9268657175664412E-2</v>
      </c>
      <c r="E23" s="185">
        <f t="shared" ca="1" si="7"/>
        <v>0.10086063124805468</v>
      </c>
      <c r="F23" s="185">
        <f t="shared" ca="1" si="7"/>
        <v>0.1716593856946762</v>
      </c>
      <c r="G23" s="257">
        <f t="shared" ca="1" si="7"/>
        <v>0.1863845106393491</v>
      </c>
    </row>
    <row r="24" spans="2:14">
      <c r="B24" s="150" t="s">
        <v>11</v>
      </c>
      <c r="C24" s="185">
        <f t="shared" ca="1" si="7"/>
        <v>0.15116981000930296</v>
      </c>
      <c r="D24" s="185">
        <f t="shared" ca="1" si="7"/>
        <v>0.11883487106018915</v>
      </c>
      <c r="E24" s="185">
        <f t="shared" ca="1" si="7"/>
        <v>3.5913694491734573E-2</v>
      </c>
      <c r="F24" s="185">
        <f t="shared" ca="1" si="7"/>
        <v>2.510624577907644E-3</v>
      </c>
      <c r="G24" s="257">
        <f t="shared" ca="1" si="7"/>
        <v>7.8016651467846081E-3</v>
      </c>
    </row>
    <row r="25" spans="2:14">
      <c r="B25" s="150" t="s">
        <v>18</v>
      </c>
      <c r="C25" s="185">
        <f t="shared" ca="1" si="7"/>
        <v>3.7392909346465274E-4</v>
      </c>
      <c r="D25" s="185">
        <f t="shared" ca="1" si="7"/>
        <v>2.5155033071345679E-3</v>
      </c>
      <c r="E25" s="185">
        <f t="shared" ca="1" si="7"/>
        <v>1.6933219412591243E-3</v>
      </c>
      <c r="F25" s="185">
        <f t="shared" ca="1" si="7"/>
        <v>1.1834251143581908E-3</v>
      </c>
      <c r="G25" s="257">
        <f t="shared" ca="1" si="7"/>
        <v>2.1558138681087645E-3</v>
      </c>
    </row>
    <row r="26" spans="2:14">
      <c r="B26" s="150" t="s">
        <v>12</v>
      </c>
      <c r="C26" s="185">
        <f t="shared" ca="1" si="7"/>
        <v>0.10942497488337816</v>
      </c>
      <c r="D26" s="185">
        <f t="shared" ca="1" si="7"/>
        <v>3.404454321653471E-2</v>
      </c>
      <c r="E26" s="185">
        <f t="shared" ca="1" si="7"/>
        <v>0.12314080902965308</v>
      </c>
      <c r="F26" s="185">
        <f t="shared" ca="1" si="7"/>
        <v>4.6440650749085294E-2</v>
      </c>
      <c r="G26" s="257">
        <f t="shared" ca="1" si="7"/>
        <v>8.0002705410330818E-2</v>
      </c>
    </row>
    <row r="27" spans="2:14">
      <c r="B27" s="150" t="s">
        <v>13</v>
      </c>
      <c r="C27" s="185">
        <f t="shared" ca="1" si="7"/>
        <v>3.4977705681859525E-2</v>
      </c>
      <c r="D27" s="185">
        <f t="shared" ca="1" si="7"/>
        <v>0.11041088813072814</v>
      </c>
      <c r="E27" s="185">
        <f t="shared" ca="1" si="7"/>
        <v>3.8684529252511979E-2</v>
      </c>
      <c r="F27" s="185">
        <f t="shared" ca="1" si="7"/>
        <v>2.4627146021442121E-2</v>
      </c>
      <c r="G27" s="257">
        <f t="shared" ca="1" si="7"/>
        <v>9.5208055454694379E-2</v>
      </c>
    </row>
    <row r="28" spans="2:14">
      <c r="B28" s="150" t="s">
        <v>14</v>
      </c>
      <c r="C28" s="185">
        <f t="shared" ca="1" si="7"/>
        <v>0.10011562165463772</v>
      </c>
      <c r="D28" s="185">
        <f t="shared" ca="1" si="7"/>
        <v>1.6929103110650174E-2</v>
      </c>
      <c r="E28" s="185">
        <f t="shared" ca="1" si="7"/>
        <v>0.14448600102256687</v>
      </c>
      <c r="F28" s="185">
        <f t="shared" ca="1" si="7"/>
        <v>9.1075782758527082E-2</v>
      </c>
      <c r="G28" s="257">
        <f t="shared" ca="1" si="7"/>
        <v>0.20072290166273685</v>
      </c>
    </row>
    <row r="29" spans="2:14">
      <c r="B29" s="150" t="s">
        <v>17</v>
      </c>
      <c r="C29" s="185">
        <f t="shared" ca="1" si="7"/>
        <v>0</v>
      </c>
      <c r="D29" s="185">
        <f t="shared" ca="1" si="7"/>
        <v>0</v>
      </c>
      <c r="E29" s="185">
        <f t="shared" ca="1" si="7"/>
        <v>0</v>
      </c>
      <c r="F29" s="185">
        <f t="shared" ca="1" si="7"/>
        <v>0</v>
      </c>
      <c r="G29" s="257">
        <f t="shared" ca="1" si="7"/>
        <v>0</v>
      </c>
    </row>
    <row r="30" spans="2:14">
      <c r="B30" s="150" t="s">
        <v>15</v>
      </c>
      <c r="C30" s="185">
        <f t="shared" ca="1" si="7"/>
        <v>0.10693961508382002</v>
      </c>
      <c r="D30" s="185">
        <f t="shared" ca="1" si="7"/>
        <v>2.0155605858542144E-2</v>
      </c>
      <c r="E30" s="185">
        <f t="shared" ca="1" si="7"/>
        <v>5.7691544584926001E-2</v>
      </c>
      <c r="F30" s="185">
        <f t="shared" ca="1" si="7"/>
        <v>6.2127277157326528E-2</v>
      </c>
      <c r="G30" s="257">
        <f t="shared" ca="1" si="7"/>
        <v>0.12903003730341664</v>
      </c>
    </row>
    <row r="31" spans="2:14">
      <c r="B31" s="235" t="s">
        <v>169</v>
      </c>
      <c r="C31" s="185">
        <f t="shared" ca="1" si="7"/>
        <v>0.14009589478314069</v>
      </c>
      <c r="D31" s="185">
        <f t="shared" ca="1" si="7"/>
        <v>0.18582739740303977</v>
      </c>
      <c r="E31" s="185">
        <f t="shared" ca="1" si="7"/>
        <v>6.3450884469874111E-2</v>
      </c>
      <c r="F31" s="185">
        <f t="shared" ca="1" si="7"/>
        <v>7.0264572119800806E-2</v>
      </c>
      <c r="G31" s="257">
        <f t="shared" ca="1" si="7"/>
        <v>0.11445684227909173</v>
      </c>
    </row>
    <row r="32" spans="2:14">
      <c r="B32" s="46" t="s">
        <v>16</v>
      </c>
      <c r="C32" s="196">
        <f ca="1">SUM(C20:C31)</f>
        <v>1.0000000000000002</v>
      </c>
      <c r="D32" s="196">
        <f ca="1">SUM(D20:D31)</f>
        <v>1</v>
      </c>
      <c r="E32" s="196">
        <f ca="1">SUM(E20:E31)</f>
        <v>1</v>
      </c>
      <c r="F32" s="196">
        <f ca="1">SUM(F20:F31)</f>
        <v>1</v>
      </c>
      <c r="G32" s="258">
        <f ca="1">SUM(G20:G31)</f>
        <v>1.0000000000000002</v>
      </c>
    </row>
    <row r="33" spans="2:13">
      <c r="B33" s="6"/>
      <c r="C33" s="6"/>
      <c r="D33" s="6"/>
      <c r="E33" s="6"/>
      <c r="F33" s="6"/>
      <c r="G33" s="243"/>
    </row>
    <row r="34" spans="2:13">
      <c r="B34" s="74" t="s">
        <v>20</v>
      </c>
      <c r="C34" s="10"/>
      <c r="D34" s="10"/>
      <c r="E34" s="10"/>
      <c r="F34" s="10"/>
      <c r="G34" s="245"/>
    </row>
    <row r="35" spans="2:13">
      <c r="B35" s="132" t="s">
        <v>9</v>
      </c>
      <c r="C35" s="316">
        <f ca="1">RAND()*200000000</f>
        <v>28917741.815014541</v>
      </c>
      <c r="D35" s="316">
        <f t="shared" ref="D35:G35" ca="1" si="8">RAND()*200000000</f>
        <v>7570540.9232707191</v>
      </c>
      <c r="E35" s="316">
        <f t="shared" ca="1" si="8"/>
        <v>26709760.35699122</v>
      </c>
      <c r="F35" s="316">
        <f t="shared" ca="1" si="8"/>
        <v>52084896.894690648</v>
      </c>
      <c r="G35" s="316">
        <f t="shared" ca="1" si="8"/>
        <v>197216195.01035279</v>
      </c>
    </row>
    <row r="36" spans="2:13">
      <c r="B36" s="133" t="s">
        <v>8</v>
      </c>
      <c r="C36" s="316">
        <f ca="1">RAND()*100000000</f>
        <v>21479418.360004809</v>
      </c>
      <c r="D36" s="316">
        <f t="shared" ref="D36:G36" ca="1" si="9">RAND()*100000000</f>
        <v>89416673.261651143</v>
      </c>
      <c r="E36" s="316">
        <f t="shared" ca="1" si="9"/>
        <v>66515732.344907567</v>
      </c>
      <c r="F36" s="316">
        <f t="shared" ca="1" si="9"/>
        <v>2397744.1732036751</v>
      </c>
      <c r="G36" s="316">
        <f t="shared" ca="1" si="9"/>
        <v>47006734.894221358</v>
      </c>
    </row>
    <row r="37" spans="2:13">
      <c r="B37" s="135" t="s">
        <v>19</v>
      </c>
      <c r="C37" s="316">
        <f ca="1">RAND()*1000000</f>
        <v>769940.89464463305</v>
      </c>
      <c r="D37" s="316">
        <f t="shared" ref="D37:G37" ca="1" si="10">RAND()*1000000</f>
        <v>893078.33076198667</v>
      </c>
      <c r="E37" s="316">
        <f t="shared" ca="1" si="10"/>
        <v>755422.80891232728</v>
      </c>
      <c r="F37" s="316">
        <f t="shared" ca="1" si="10"/>
        <v>57928.072505214368</v>
      </c>
      <c r="G37" s="316">
        <f t="shared" ca="1" si="10"/>
        <v>984889.44427440397</v>
      </c>
    </row>
    <row r="38" spans="2:13">
      <c r="B38" s="136" t="s">
        <v>10</v>
      </c>
      <c r="C38" s="316">
        <f ca="1">RAND()*100000000</f>
        <v>10856660.398968088</v>
      </c>
      <c r="D38" s="316">
        <f t="shared" ref="D38:G38" ca="1" si="11">RAND()*100000000</f>
        <v>47983545.05776611</v>
      </c>
      <c r="E38" s="316">
        <f t="shared" ca="1" si="11"/>
        <v>86565574.273163185</v>
      </c>
      <c r="F38" s="316">
        <f t="shared" ca="1" si="11"/>
        <v>17670350.869613994</v>
      </c>
      <c r="G38" s="316">
        <f t="shared" ca="1" si="11"/>
        <v>66441417.008077815</v>
      </c>
    </row>
    <row r="39" spans="2:13">
      <c r="B39" s="137" t="s">
        <v>11</v>
      </c>
      <c r="C39" s="316">
        <f ca="1">RAND()*1000000</f>
        <v>375719.5684895055</v>
      </c>
      <c r="D39" s="316">
        <f t="shared" ref="D39:G40" ca="1" si="12">RAND()*1000000</f>
        <v>724487.30560496799</v>
      </c>
      <c r="E39" s="316">
        <f t="shared" ca="1" si="12"/>
        <v>792584.45075151022</v>
      </c>
      <c r="F39" s="316">
        <f t="shared" ca="1" si="12"/>
        <v>304458.81368284702</v>
      </c>
      <c r="G39" s="316">
        <f t="shared" ca="1" si="12"/>
        <v>576720.09280661063</v>
      </c>
    </row>
    <row r="40" spans="2:13">
      <c r="B40" s="140" t="s">
        <v>18</v>
      </c>
      <c r="C40" s="316">
        <f ca="1">RAND()*1000000</f>
        <v>142872.22762951491</v>
      </c>
      <c r="D40" s="316">
        <f t="shared" ca="1" si="12"/>
        <v>452908.53457307589</v>
      </c>
      <c r="E40" s="316">
        <f t="shared" ca="1" si="12"/>
        <v>639339.48084020568</v>
      </c>
      <c r="F40" s="316">
        <f t="shared" ca="1" si="12"/>
        <v>106496.62703518759</v>
      </c>
      <c r="G40" s="316">
        <f t="shared" ca="1" si="12"/>
        <v>880885.17942258168</v>
      </c>
    </row>
    <row r="41" spans="2:13">
      <c r="B41" s="138" t="s">
        <v>12</v>
      </c>
      <c r="C41" s="316">
        <f ca="1">RAND()*100000000</f>
        <v>56160397.761620842</v>
      </c>
      <c r="D41" s="316">
        <f t="shared" ref="D41:G41" ca="1" si="13">RAND()*100000000</f>
        <v>84170067.134377584</v>
      </c>
      <c r="E41" s="316">
        <f t="shared" ca="1" si="13"/>
        <v>71476816.930509791</v>
      </c>
      <c r="F41" s="316">
        <f t="shared" ca="1" si="13"/>
        <v>23082866.211347509</v>
      </c>
      <c r="G41" s="316">
        <f t="shared" ca="1" si="13"/>
        <v>29965247.607904423</v>
      </c>
    </row>
    <row r="42" spans="2:13">
      <c r="B42" s="139" t="s">
        <v>13</v>
      </c>
      <c r="C42" s="316">
        <f ca="1">RAND()*1000000</f>
        <v>545347.41399201704</v>
      </c>
      <c r="D42" s="316">
        <f t="shared" ref="D42:G42" ca="1" si="14">RAND()*1000000</f>
        <v>929980.91742266959</v>
      </c>
      <c r="E42" s="316">
        <f t="shared" ca="1" si="14"/>
        <v>216252.17999332113</v>
      </c>
      <c r="F42" s="316">
        <f t="shared" ca="1" si="14"/>
        <v>330849.36355651461</v>
      </c>
      <c r="G42" s="316">
        <f t="shared" ca="1" si="14"/>
        <v>396568.77454902639</v>
      </c>
    </row>
    <row r="43" spans="2:13">
      <c r="B43" s="141" t="s">
        <v>14</v>
      </c>
      <c r="C43" s="316">
        <f ca="1">RAND()*100000000</f>
        <v>85973611.363162816</v>
      </c>
      <c r="D43" s="316">
        <f t="shared" ref="D43:G43" ca="1" si="15">RAND()*100000000</f>
        <v>51283230.683424741</v>
      </c>
      <c r="E43" s="316">
        <f t="shared" ca="1" si="15"/>
        <v>83695545.256049544</v>
      </c>
      <c r="F43" s="316">
        <f t="shared" ca="1" si="15"/>
        <v>27273504.107597403</v>
      </c>
      <c r="G43" s="316">
        <f t="shared" ca="1" si="15"/>
        <v>10684122.813942166</v>
      </c>
    </row>
    <row r="44" spans="2:13">
      <c r="B44" s="3" t="s">
        <v>17</v>
      </c>
      <c r="C44" s="316">
        <f ca="1">RAND()*1000000</f>
        <v>694237.63240962324</v>
      </c>
      <c r="D44" s="316">
        <f t="shared" ref="D44:G44" ca="1" si="16">RAND()*1000000</f>
        <v>186001.51067078198</v>
      </c>
      <c r="E44" s="316">
        <f t="shared" ca="1" si="16"/>
        <v>132105.16746759115</v>
      </c>
      <c r="F44" s="316">
        <f t="shared" ca="1" si="16"/>
        <v>266790.44788656483</v>
      </c>
      <c r="G44" s="316">
        <f t="shared" ca="1" si="16"/>
        <v>980813.28283760697</v>
      </c>
    </row>
    <row r="45" spans="2:13">
      <c r="B45" s="134" t="s">
        <v>15</v>
      </c>
      <c r="C45" s="316">
        <f ca="1">RAND()*100000000</f>
        <v>13206689.511502655</v>
      </c>
      <c r="D45" s="316">
        <f t="shared" ref="D45:G45" ca="1" si="17">RAND()*100000000</f>
        <v>59271670.379405551</v>
      </c>
      <c r="E45" s="316">
        <f t="shared" ca="1" si="17"/>
        <v>90037346.400599554</v>
      </c>
      <c r="F45" s="316">
        <f t="shared" ca="1" si="17"/>
        <v>2258861.6603977927</v>
      </c>
      <c r="G45" s="316">
        <f t="shared" ca="1" si="17"/>
        <v>7143585.7493583057</v>
      </c>
      <c r="I45" s="170"/>
    </row>
    <row r="46" spans="2:13">
      <c r="B46" s="228" t="s">
        <v>169</v>
      </c>
      <c r="C46" s="316">
        <f ca="1">RAND()*10000000</f>
        <v>1307918.3394528227</v>
      </c>
      <c r="D46" s="316">
        <f t="shared" ref="D46:G46" ca="1" si="18">RAND()*10000000</f>
        <v>7754417.5177903827</v>
      </c>
      <c r="E46" s="316">
        <f t="shared" ca="1" si="18"/>
        <v>1636962.1194257366</v>
      </c>
      <c r="F46" s="316">
        <f t="shared" ca="1" si="18"/>
        <v>3071836.1757751578</v>
      </c>
      <c r="G46" s="316">
        <f t="shared" ca="1" si="18"/>
        <v>4958557.2487536967</v>
      </c>
      <c r="I46" s="170"/>
    </row>
    <row r="47" spans="2:13" s="143" customFormat="1">
      <c r="B47" s="142" t="s">
        <v>21</v>
      </c>
      <c r="C47" s="179">
        <f ca="1">SUM(C35:C46)</f>
        <v>220430555.28689188</v>
      </c>
      <c r="D47" s="179">
        <f ca="1">SUM(D35:D46)</f>
        <v>350636601.55671972</v>
      </c>
      <c r="E47" s="179">
        <f ca="1">SUM(E35:E46)</f>
        <v>429173441.76961148</v>
      </c>
      <c r="F47" s="179">
        <f ca="1">SUM(F35:F46)</f>
        <v>128906583.41729254</v>
      </c>
      <c r="G47" s="179">
        <f ca="1">SUM(G35:G46)</f>
        <v>367235737.10650086</v>
      </c>
      <c r="H47" s="171"/>
      <c r="I47" s="171"/>
      <c r="J47" s="171"/>
      <c r="K47" s="171"/>
      <c r="L47" s="171"/>
      <c r="M47" s="171"/>
    </row>
    <row r="48" spans="2:13">
      <c r="B48"/>
      <c r="C48" s="7"/>
      <c r="D48" s="7"/>
      <c r="E48" s="7"/>
      <c r="F48" s="63"/>
      <c r="G48" s="246"/>
    </row>
    <row r="49" spans="2:7">
      <c r="B49" s="11"/>
      <c r="C49" s="12"/>
      <c r="D49" s="12"/>
      <c r="E49" s="12"/>
      <c r="F49" s="254"/>
      <c r="G49" s="247"/>
    </row>
    <row r="50" spans="2:7">
      <c r="B50" s="74" t="s">
        <v>115</v>
      </c>
      <c r="C50" s="12"/>
      <c r="D50" s="12"/>
      <c r="E50" s="12"/>
      <c r="F50" s="12"/>
      <c r="G50" s="247"/>
    </row>
    <row r="51" spans="2:7">
      <c r="B51" s="20" t="s">
        <v>175</v>
      </c>
      <c r="C51" s="13">
        <v>1</v>
      </c>
      <c r="D51" s="237">
        <f t="shared" ref="D51:G62" ca="1" si="19">D35/C35</f>
        <v>0.26179571598982798</v>
      </c>
      <c r="E51" s="14">
        <f t="shared" ca="1" si="19"/>
        <v>3.52811782245168</v>
      </c>
      <c r="F51" s="14">
        <f t="shared" ca="1" si="19"/>
        <v>1.9500323551595453</v>
      </c>
      <c r="G51" s="259">
        <f t="shared" ca="1" si="19"/>
        <v>3.7864372739203085</v>
      </c>
    </row>
    <row r="52" spans="2:7">
      <c r="B52" s="3" t="s">
        <v>8</v>
      </c>
      <c r="C52" s="16">
        <v>1</v>
      </c>
      <c r="D52" s="237">
        <f t="shared" ca="1" si="19"/>
        <v>4.1629001196860678</v>
      </c>
      <c r="E52" s="14">
        <f t="shared" ca="1" si="19"/>
        <v>0.74388511581357064</v>
      </c>
      <c r="F52" s="14">
        <f t="shared" ca="1" si="19"/>
        <v>3.6047775295783027E-2</v>
      </c>
      <c r="G52" s="259">
        <f t="shared" ca="1" si="19"/>
        <v>19.604566416864522</v>
      </c>
    </row>
    <row r="53" spans="2:7">
      <c r="B53" s="3" t="s">
        <v>19</v>
      </c>
      <c r="C53" s="15">
        <v>1</v>
      </c>
      <c r="D53" s="237">
        <f t="shared" ca="1" si="19"/>
        <v>1.1599310245420693</v>
      </c>
      <c r="E53" s="14">
        <f t="shared" ca="1" si="19"/>
        <v>0.84586399970962256</v>
      </c>
      <c r="F53" s="14">
        <f t="shared" ca="1" si="19"/>
        <v>7.6682980473703671E-2</v>
      </c>
      <c r="G53" s="259">
        <f t="shared" ca="1" si="19"/>
        <v>17.001937086474776</v>
      </c>
    </row>
    <row r="54" spans="2:7">
      <c r="B54" s="3" t="s">
        <v>10</v>
      </c>
      <c r="C54" s="15">
        <v>1</v>
      </c>
      <c r="D54" s="237">
        <f t="shared" ca="1" si="19"/>
        <v>4.4197334442115261</v>
      </c>
      <c r="E54" s="14">
        <f t="shared" ca="1" si="19"/>
        <v>1.8040679188865516</v>
      </c>
      <c r="F54" s="259">
        <f t="shared" ca="1" si="19"/>
        <v>0.20412676769005281</v>
      </c>
      <c r="G54" s="259">
        <f t="shared" ca="1" si="19"/>
        <v>3.7600508047823058</v>
      </c>
    </row>
    <row r="55" spans="2:7">
      <c r="B55" s="3" t="s">
        <v>11</v>
      </c>
      <c r="C55" s="15">
        <v>1</v>
      </c>
      <c r="D55" s="237">
        <f t="shared" ca="1" si="19"/>
        <v>1.9282660962206555</v>
      </c>
      <c r="E55" s="14">
        <f t="shared" ca="1" si="19"/>
        <v>1.0939935656839137</v>
      </c>
      <c r="F55" s="259">
        <f t="shared" ca="1" si="19"/>
        <v>0.38413422493232896</v>
      </c>
      <c r="G55" s="259">
        <f t="shared" ca="1" si="19"/>
        <v>1.894246666175927</v>
      </c>
    </row>
    <row r="56" spans="2:7">
      <c r="B56" s="3" t="s">
        <v>18</v>
      </c>
      <c r="C56" s="15">
        <v>1</v>
      </c>
      <c r="D56" s="237">
        <f t="shared" ca="1" si="19"/>
        <v>3.1700250082718866</v>
      </c>
      <c r="E56" s="14">
        <f t="shared" ca="1" si="19"/>
        <v>1.4116304552372032</v>
      </c>
      <c r="F56" s="259">
        <f t="shared" ca="1" si="19"/>
        <v>0.16657289316034746</v>
      </c>
      <c r="G56" s="259">
        <f t="shared" ca="1" si="19"/>
        <v>8.2714843084328677</v>
      </c>
    </row>
    <row r="57" spans="2:7">
      <c r="B57" s="3" t="s">
        <v>12</v>
      </c>
      <c r="C57" s="15">
        <v>1</v>
      </c>
      <c r="D57" s="237">
        <f t="shared" ca="1" si="19"/>
        <v>1.4987441415861573</v>
      </c>
      <c r="E57" s="14">
        <f t="shared" ca="1" si="19"/>
        <v>0.8491951992434198</v>
      </c>
      <c r="F57" s="259">
        <f t="shared" ca="1" si="19"/>
        <v>0.32294199997446466</v>
      </c>
      <c r="G57" s="259">
        <f t="shared" ca="1" si="19"/>
        <v>1.2981597403693976</v>
      </c>
    </row>
    <row r="58" spans="2:7">
      <c r="B58" s="3" t="s">
        <v>13</v>
      </c>
      <c r="C58" s="15">
        <v>1</v>
      </c>
      <c r="D58" s="237">
        <f t="shared" ca="1" si="19"/>
        <v>1.7052999492838576</v>
      </c>
      <c r="E58" s="14">
        <f t="shared" ca="1" si="19"/>
        <v>0.23253399714118658</v>
      </c>
      <c r="F58" s="259">
        <f t="shared" ca="1" si="19"/>
        <v>1.5299238304406124</v>
      </c>
      <c r="G58" s="259">
        <f t="shared" ca="1" si="19"/>
        <v>1.1986384688368481</v>
      </c>
    </row>
    <row r="59" spans="2:7">
      <c r="B59" s="3" t="s">
        <v>14</v>
      </c>
      <c r="C59" s="15">
        <v>1</v>
      </c>
      <c r="D59" s="237">
        <f t="shared" ca="1" si="19"/>
        <v>0.59649966856455805</v>
      </c>
      <c r="E59" s="14">
        <f t="shared" ca="1" si="19"/>
        <v>1.6320255986349315</v>
      </c>
      <c r="F59" s="259">
        <f t="shared" ca="1" si="19"/>
        <v>0.32586566016338919</v>
      </c>
      <c r="G59" s="259">
        <f t="shared" ca="1" si="19"/>
        <v>0.39174001154350968</v>
      </c>
    </row>
    <row r="60" spans="2:7">
      <c r="B60" s="4" t="s">
        <v>17</v>
      </c>
      <c r="C60" s="236">
        <v>1</v>
      </c>
      <c r="D60" s="237">
        <f t="shared" ca="1" si="19"/>
        <v>0.26792196502686116</v>
      </c>
      <c r="E60" s="14">
        <f t="shared" ca="1" si="19"/>
        <v>0.71023706738282355</v>
      </c>
      <c r="F60" s="259">
        <f t="shared" ca="1" si="19"/>
        <v>2.0195307496356301</v>
      </c>
      <c r="G60" s="259">
        <f t="shared" ca="1" si="19"/>
        <v>3.6763433271592754</v>
      </c>
    </row>
    <row r="61" spans="2:7">
      <c r="B61" s="240" t="s">
        <v>15</v>
      </c>
      <c r="C61" s="241">
        <v>1</v>
      </c>
      <c r="D61" s="238">
        <f t="shared" ca="1" si="19"/>
        <v>4.488003623298753</v>
      </c>
      <c r="E61" s="166">
        <f t="shared" ca="1" si="19"/>
        <v>1.5190620717158632</v>
      </c>
      <c r="F61" s="257">
        <f t="shared" ca="1" si="19"/>
        <v>2.5088052354936476E-2</v>
      </c>
      <c r="G61" s="257">
        <f t="shared" ca="1" si="19"/>
        <v>3.1624715557394061</v>
      </c>
    </row>
    <row r="62" spans="2:7">
      <c r="B62" s="239" t="s">
        <v>169</v>
      </c>
      <c r="C62" s="311">
        <v>1</v>
      </c>
      <c r="D62" s="238">
        <f t="shared" ca="1" si="19"/>
        <v>5.9288239058063068</v>
      </c>
      <c r="E62" s="166">
        <f t="shared" ca="1" si="19"/>
        <v>0.21110059081422639</v>
      </c>
      <c r="F62" s="166">
        <f t="shared" ca="1" si="19"/>
        <v>1.8765468909279281</v>
      </c>
      <c r="G62" s="257">
        <f t="shared" ca="1" si="19"/>
        <v>1.6141997701106041</v>
      </c>
    </row>
    <row r="63" spans="2:7">
      <c r="B63" s="6"/>
      <c r="C63" s="12"/>
      <c r="D63" s="7"/>
      <c r="E63" s="7"/>
      <c r="F63" s="7"/>
      <c r="G63" s="244"/>
    </row>
    <row r="64" spans="2:7">
      <c r="B64" s="74" t="s">
        <v>170</v>
      </c>
      <c r="C64" s="6"/>
      <c r="D64" s="7"/>
      <c r="E64" s="7"/>
      <c r="F64" s="7"/>
      <c r="G64" s="244"/>
    </row>
    <row r="65" spans="2:7">
      <c r="B65" s="20" t="s">
        <v>116</v>
      </c>
      <c r="C65" s="121">
        <v>1</v>
      </c>
      <c r="D65" s="121">
        <f ca="1">SUMPRODUCT(C20:C31,D51:D62)/SUMPRODUCT(C20:C31,C51:C62)</f>
        <v>2.1700276767407511</v>
      </c>
      <c r="E65" s="121">
        <f ca="1">SUMPRODUCT(D20:D31,E51:E62)/SUMPRODUCT(D20:D31,D51:D62)</f>
        <v>0.71869363124747598</v>
      </c>
      <c r="F65" s="121">
        <f ca="1">SUMPRODUCT(E20:E31,F51:F62)/SUMPRODUCT(E20:E31,E51:E62)</f>
        <v>0.47620223023217323</v>
      </c>
      <c r="G65" s="260">
        <f ca="1">SUMPRODUCT(F20:F31,G51:G62)/SUMPRODUCT(F20:F31,F51:F62)</f>
        <v>5.7012989787370705</v>
      </c>
    </row>
    <row r="66" spans="2:7">
      <c r="B66" s="3" t="s">
        <v>81</v>
      </c>
      <c r="C66" s="122">
        <v>1</v>
      </c>
      <c r="D66" s="122">
        <f ca="1">SUMPRODUCT(D20:D31,D51:D62)/SUMPRODUCT(D20:D31,C51:C62)</f>
        <v>2.3785301486435815</v>
      </c>
      <c r="E66" s="122">
        <f ca="1">SUMPRODUCT(E20:E31,E51:E62)/SUMPRODUCT(E20:E31,D51:D62)</f>
        <v>0.77492915050838118</v>
      </c>
      <c r="F66" s="122">
        <f ca="1">SUMPRODUCT(F20:F31,F51:F62)/SUMPRODUCT(F20:F31,E51:E62)</f>
        <v>0.48015535074766785</v>
      </c>
      <c r="G66" s="261">
        <f ca="1">SUMPRODUCT(G20:G31,G51:G62)/SUMPRODUCT(G20:G31,F51:F62)</f>
        <v>5.4076876066860038</v>
      </c>
    </row>
    <row r="67" spans="2:7">
      <c r="B67" s="3" t="s">
        <v>117</v>
      </c>
      <c r="C67" s="122">
        <v>1</v>
      </c>
      <c r="D67" s="122">
        <f ca="1">(D66*D65)^0.5</f>
        <v>2.2718882570493788</v>
      </c>
      <c r="E67" s="122">
        <f ca="1">(E66*E65)^0.5</f>
        <v>0.74628188048376898</v>
      </c>
      <c r="F67" s="122">
        <f ca="1">(F66*F65)^0.5</f>
        <v>0.47817470539955459</v>
      </c>
      <c r="G67" s="261">
        <f t="shared" ref="G67" ca="1" si="20">(G66*G65)^0.5</f>
        <v>5.552552910988604</v>
      </c>
    </row>
    <row r="68" spans="2:7">
      <c r="B68" s="3" t="s">
        <v>118</v>
      </c>
      <c r="C68" s="122">
        <v>1</v>
      </c>
      <c r="D68" s="122">
        <f ca="1">C68*D67</f>
        <v>2.2718882570493788</v>
      </c>
      <c r="E68" s="122">
        <f ca="1">D68*E67</f>
        <v>1.6954690407198028</v>
      </c>
      <c r="F68" s="122">
        <f ca="1">E68*F67</f>
        <v>0.81073040906025706</v>
      </c>
      <c r="G68" s="261">
        <f t="shared" ref="G68" ca="1" si="21">F68*G67</f>
        <v>4.5016234928545122</v>
      </c>
    </row>
    <row r="69" spans="2:7">
      <c r="B69" s="145" t="s">
        <v>97</v>
      </c>
      <c r="C69" s="81"/>
      <c r="D69" s="81">
        <f ca="1">LN(D68/C68)</f>
        <v>0.82061131701268231</v>
      </c>
      <c r="E69" s="81">
        <f ca="1">LN(E68/D68)</f>
        <v>-0.29265189427156424</v>
      </c>
      <c r="F69" s="81">
        <f ca="1">LN(F68/E68)</f>
        <v>-0.73777912079909536</v>
      </c>
      <c r="G69" s="81">
        <f t="shared" ref="G69" ca="1" si="22">LN(G68/F68)</f>
        <v>1.7142578059600619</v>
      </c>
    </row>
    <row r="70" spans="2:7">
      <c r="B70" s="291" t="s">
        <v>171</v>
      </c>
      <c r="C70" s="21"/>
      <c r="D70" s="21">
        <f ca="1">AVERAGE($D$69:D69)</f>
        <v>0.82061131701268231</v>
      </c>
      <c r="E70" s="21">
        <f ca="1">AVERAGE($D$69:E69)</f>
        <v>0.26397971137055903</v>
      </c>
      <c r="F70" s="21">
        <f ca="1">AVERAGE($D$69:F69)</f>
        <v>-6.9939899352659096E-2</v>
      </c>
      <c r="G70" s="21">
        <f ca="1">AVERAGE($D$69:G69)</f>
        <v>0.37610952697552114</v>
      </c>
    </row>
    <row r="71" spans="2:7">
      <c r="G71" s="248"/>
    </row>
    <row r="72" spans="2:7">
      <c r="G72" s="248"/>
    </row>
    <row r="73" spans="2:7">
      <c r="B73" s="158" t="s">
        <v>106</v>
      </c>
      <c r="C73" s="181">
        <v>2582253</v>
      </c>
      <c r="D73" s="181">
        <v>2484701</v>
      </c>
      <c r="E73" s="181">
        <v>2220546</v>
      </c>
      <c r="F73" s="181">
        <v>1875983</v>
      </c>
      <c r="G73" s="181">
        <v>1599087</v>
      </c>
    </row>
    <row r="74" spans="2:7">
      <c r="B74" s="158" t="s">
        <v>107</v>
      </c>
      <c r="C74" s="159">
        <f ca="1">Materiale!C10/Outputuri!C73</f>
        <v>14.735382293713727</v>
      </c>
      <c r="D74" s="159">
        <f ca="1">Materiale!D10/Outputuri!D73</f>
        <v>33.229969970583809</v>
      </c>
      <c r="E74" s="159">
        <f ca="1">Materiale!E10/Outputuri!E73</f>
        <v>17.582876414701335</v>
      </c>
      <c r="F74" s="159">
        <f ca="1">Materiale!F10/Outputuri!F73</f>
        <v>9.4438212152071834</v>
      </c>
      <c r="G74" s="262">
        <f ca="1">Materiale!G10/Outputuri!G73</f>
        <v>34.843679659549139</v>
      </c>
    </row>
  </sheetData>
  <phoneticPr fontId="0" type="noConversion"/>
  <pageMargins left="0.75" right="0.75" top="1" bottom="1" header="0.5" footer="0.5"/>
  <pageSetup paperSize="9" scale="47" orientation="landscape" r:id="rId1"/>
  <headerFooter alignWithMargins="0"/>
  <ignoredErrors>
    <ignoredError sqref="C17 G17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2" tint="-9.9978637043366805E-2"/>
    <pageSetUpPr fitToPage="1"/>
  </sheetPr>
  <dimension ref="B1:H49"/>
  <sheetViews>
    <sheetView zoomScaleNormal="100" workbookViewId="0">
      <pane xSplit="2" ySplit="4" topLeftCell="C32" activePane="bottomRight" state="frozen"/>
      <selection pane="topRight" activeCell="C1" sqref="C1"/>
      <selection pane="bottomLeft" activeCell="A4" sqref="A4"/>
      <selection pane="bottomRight" activeCell="L18" sqref="L18"/>
    </sheetView>
  </sheetViews>
  <sheetFormatPr defaultColWidth="11.44140625" defaultRowHeight="13.2"/>
  <cols>
    <col min="1" max="1" width="3.6640625" style="24" customWidth="1"/>
    <col min="2" max="2" width="45.6640625" style="24" customWidth="1"/>
    <col min="3" max="7" width="9.33203125" style="24" customWidth="1"/>
    <col min="8" max="8" width="59.33203125" style="24" bestFit="1" customWidth="1"/>
    <col min="9" max="16384" width="11.44140625" style="24"/>
  </cols>
  <sheetData>
    <row r="1" spans="2:8" s="143" customFormat="1">
      <c r="B1" s="173" t="s">
        <v>181</v>
      </c>
    </row>
    <row r="2" spans="2:8" ht="27" customHeight="1">
      <c r="B2" s="85" t="s">
        <v>119</v>
      </c>
    </row>
    <row r="4" spans="2:8">
      <c r="B4" s="51" t="s">
        <v>110</v>
      </c>
      <c r="C4" s="23">
        <v>2020</v>
      </c>
      <c r="D4" s="23">
        <v>2021</v>
      </c>
      <c r="E4" s="23">
        <v>2022</v>
      </c>
      <c r="F4" s="23">
        <v>2023</v>
      </c>
      <c r="G4" s="23">
        <v>2024</v>
      </c>
      <c r="H4" s="23" t="s">
        <v>123</v>
      </c>
    </row>
    <row r="5" spans="2:8">
      <c r="B5" s="146" t="s">
        <v>31</v>
      </c>
      <c r="C5" s="242">
        <v>102.51</v>
      </c>
      <c r="D5" s="242">
        <v>103.09</v>
      </c>
      <c r="E5" s="242">
        <v>107.36</v>
      </c>
      <c r="F5" s="242">
        <v>109.91</v>
      </c>
      <c r="G5" s="242">
        <v>110.52</v>
      </c>
      <c r="H5" s="216" t="s">
        <v>31</v>
      </c>
    </row>
    <row r="6" spans="2:8">
      <c r="B6" s="146" t="s">
        <v>32</v>
      </c>
      <c r="C6" s="242">
        <v>99.24</v>
      </c>
      <c r="D6" s="242">
        <v>128.1</v>
      </c>
      <c r="E6" s="242">
        <v>139.66</v>
      </c>
      <c r="F6" s="242">
        <v>92.49</v>
      </c>
      <c r="G6" s="242">
        <v>94.99</v>
      </c>
      <c r="H6" s="217" t="s">
        <v>65</v>
      </c>
    </row>
    <row r="7" spans="2:8" s="172" customFormat="1">
      <c r="B7" s="146" t="s">
        <v>33</v>
      </c>
      <c r="C7" s="242">
        <v>102.06</v>
      </c>
      <c r="D7" s="242">
        <v>108.19</v>
      </c>
      <c r="E7" s="242">
        <v>116.37</v>
      </c>
      <c r="F7" s="242">
        <v>106.61</v>
      </c>
      <c r="G7" s="242">
        <v>105.14</v>
      </c>
      <c r="H7" s="217" t="s">
        <v>173</v>
      </c>
    </row>
    <row r="8" spans="2:8">
      <c r="B8" s="146" t="s">
        <v>34</v>
      </c>
      <c r="C8" s="242">
        <v>101.75</v>
      </c>
      <c r="D8" s="242">
        <v>102.85</v>
      </c>
      <c r="E8" s="242">
        <v>115.82</v>
      </c>
      <c r="F8" s="242">
        <v>107.36</v>
      </c>
      <c r="G8" s="242">
        <v>106.28</v>
      </c>
      <c r="H8" s="217" t="s">
        <v>70</v>
      </c>
    </row>
    <row r="9" spans="2:8">
      <c r="B9" s="146" t="s">
        <v>35</v>
      </c>
      <c r="C9" s="242">
        <f ca="1">Outputuri!C74/Outputuri!C74*100</f>
        <v>100</v>
      </c>
      <c r="D9" s="242">
        <f ca="1">Outputuri!D74/Outputuri!C74*100</f>
        <v>225.51142079808866</v>
      </c>
      <c r="E9" s="242">
        <f ca="1">Outputuri!E74/Outputuri!D74*100</f>
        <v>52.912706301769873</v>
      </c>
      <c r="F9" s="242">
        <f ca="1">Outputuri!F74/Outputuri!E74*100</f>
        <v>53.71033153205267</v>
      </c>
      <c r="G9" s="242">
        <f ca="1">Outputuri!G74/Outputuri!F74*100</f>
        <v>368.95742587164932</v>
      </c>
      <c r="H9" s="249" t="s">
        <v>109</v>
      </c>
    </row>
    <row r="10" spans="2:8">
      <c r="B10" s="146" t="s">
        <v>36</v>
      </c>
      <c r="C10" s="242">
        <v>102.06</v>
      </c>
      <c r="D10" s="242">
        <v>108.19</v>
      </c>
      <c r="E10" s="242">
        <v>116.37</v>
      </c>
      <c r="F10" s="242">
        <v>106.61</v>
      </c>
      <c r="G10" s="242">
        <v>105.14</v>
      </c>
      <c r="H10" s="217" t="s">
        <v>69</v>
      </c>
    </row>
    <row r="11" spans="2:8" s="172" customFormat="1">
      <c r="B11" s="146" t="s">
        <v>37</v>
      </c>
      <c r="C11" s="242">
        <v>102.06</v>
      </c>
      <c r="D11" s="242">
        <v>108.19</v>
      </c>
      <c r="E11" s="242">
        <v>116.37</v>
      </c>
      <c r="F11" s="242">
        <v>106.61</v>
      </c>
      <c r="G11" s="242">
        <v>105.14</v>
      </c>
      <c r="H11" s="217" t="s">
        <v>173</v>
      </c>
    </row>
    <row r="12" spans="2:8">
      <c r="B12" s="146" t="s">
        <v>38</v>
      </c>
      <c r="C12" s="242">
        <v>102.06</v>
      </c>
      <c r="D12" s="242">
        <v>108.19</v>
      </c>
      <c r="E12" s="242">
        <v>116.37</v>
      </c>
      <c r="F12" s="242">
        <v>106.61</v>
      </c>
      <c r="G12" s="242">
        <v>105.14</v>
      </c>
      <c r="H12" s="217" t="s">
        <v>69</v>
      </c>
    </row>
    <row r="13" spans="2:8">
      <c r="B13" s="146" t="s">
        <v>39</v>
      </c>
      <c r="C13" s="242">
        <v>99.24</v>
      </c>
      <c r="D13" s="242">
        <v>128.1</v>
      </c>
      <c r="E13" s="242">
        <v>139.66</v>
      </c>
      <c r="F13" s="242">
        <v>92.49</v>
      </c>
      <c r="G13" s="242">
        <v>94.99</v>
      </c>
      <c r="H13" s="217" t="s">
        <v>65</v>
      </c>
    </row>
    <row r="14" spans="2:8" s="172" customFormat="1">
      <c r="B14" s="146" t="s">
        <v>40</v>
      </c>
      <c r="C14" s="242">
        <v>102.06</v>
      </c>
      <c r="D14" s="242">
        <v>108.19</v>
      </c>
      <c r="E14" s="242">
        <v>116.37</v>
      </c>
      <c r="F14" s="242">
        <v>106.61</v>
      </c>
      <c r="G14" s="242">
        <v>105.14</v>
      </c>
      <c r="H14" s="217" t="s">
        <v>173</v>
      </c>
    </row>
    <row r="15" spans="2:8">
      <c r="B15" s="146" t="s">
        <v>41</v>
      </c>
      <c r="C15" s="242">
        <v>102.69</v>
      </c>
      <c r="D15" s="242">
        <v>104.49</v>
      </c>
      <c r="E15" s="242">
        <v>109.78</v>
      </c>
      <c r="F15" s="242">
        <v>111.21</v>
      </c>
      <c r="G15" s="242">
        <v>107.1</v>
      </c>
      <c r="H15" s="217" t="s">
        <v>66</v>
      </c>
    </row>
    <row r="16" spans="2:8">
      <c r="B16" s="146" t="s">
        <v>42</v>
      </c>
      <c r="C16" s="242">
        <v>102.69</v>
      </c>
      <c r="D16" s="242">
        <v>104.49</v>
      </c>
      <c r="E16" s="242">
        <v>109.78</v>
      </c>
      <c r="F16" s="242">
        <v>111.21</v>
      </c>
      <c r="G16" s="242">
        <v>107.1</v>
      </c>
      <c r="H16" s="217" t="s">
        <v>66</v>
      </c>
    </row>
    <row r="17" spans="2:8">
      <c r="B17" s="146" t="s">
        <v>43</v>
      </c>
      <c r="C17" s="242">
        <v>100</v>
      </c>
      <c r="D17" s="242">
        <f>'[1]Anexa 4.10'!$F$18/'[2]Anexa 4.10'!$F$18*100</f>
        <v>66.03896851362893</v>
      </c>
      <c r="E17" s="242">
        <f>'[3]Anexa 4.10'!$F$18/'[1]Anexa 4.10'!$F$18*100</f>
        <v>207.25472661680234</v>
      </c>
      <c r="F17" s="242">
        <f>'[4]Anexa 4.10'!$F$18/'[3]Anexa 4.10'!$F$18*100</f>
        <v>119.16499379887844</v>
      </c>
      <c r="G17" s="242">
        <f>'[5]Anexa 4.10'!$F$18/'[4]Anexa 4.10'!$F$18*100</f>
        <v>69.906920903664485</v>
      </c>
      <c r="H17" s="217" t="s">
        <v>67</v>
      </c>
    </row>
    <row r="18" spans="2:8" s="172" customFormat="1">
      <c r="B18" s="146" t="s">
        <v>44</v>
      </c>
      <c r="C18" s="242">
        <v>102.06</v>
      </c>
      <c r="D18" s="242">
        <v>108.19</v>
      </c>
      <c r="E18" s="242">
        <v>116.37</v>
      </c>
      <c r="F18" s="242">
        <v>106.61</v>
      </c>
      <c r="G18" s="242">
        <v>105.14</v>
      </c>
      <c r="H18" s="217" t="s">
        <v>173</v>
      </c>
    </row>
    <row r="19" spans="2:8">
      <c r="B19" s="146" t="s">
        <v>45</v>
      </c>
      <c r="C19" s="242">
        <v>100</v>
      </c>
      <c r="D19" s="242">
        <f>'[3]Anexa 4.10'!$F$20/'[1]Anexa 4.10'!$F$20*100</f>
        <v>115.05873054306464</v>
      </c>
      <c r="E19" s="242">
        <f>'[3]Anexa 4.10'!$F$20/'[1]Anexa 4.10'!$F$20*100</f>
        <v>115.05873054306464</v>
      </c>
      <c r="F19" s="242">
        <f>'[4]Anexa 4.10'!$F$20/'[3]Anexa 4.10'!$F$20*100</f>
        <v>89.249689442621445</v>
      </c>
      <c r="G19" s="242">
        <f>'[5]Anexa 4.10'!$F$20/'[4]Anexa 4.10'!$F$20*100</f>
        <v>70.656082071544191</v>
      </c>
      <c r="H19" s="217" t="s">
        <v>172</v>
      </c>
    </row>
    <row r="20" spans="2:8" s="172" customFormat="1">
      <c r="B20" s="146" t="s">
        <v>46</v>
      </c>
      <c r="C20" s="242">
        <v>102.06</v>
      </c>
      <c r="D20" s="242">
        <v>108.19</v>
      </c>
      <c r="E20" s="242">
        <v>116.37</v>
      </c>
      <c r="F20" s="242">
        <v>106.61</v>
      </c>
      <c r="G20" s="242">
        <v>105.14</v>
      </c>
      <c r="H20" s="217" t="s">
        <v>173</v>
      </c>
    </row>
    <row r="21" spans="2:8">
      <c r="B21" s="146" t="s">
        <v>47</v>
      </c>
      <c r="C21" s="242">
        <v>101.19</v>
      </c>
      <c r="D21" s="242">
        <v>101.44</v>
      </c>
      <c r="E21" s="242">
        <v>99.89</v>
      </c>
      <c r="F21" s="242">
        <v>104.61</v>
      </c>
      <c r="G21" s="242">
        <v>100.08</v>
      </c>
      <c r="H21" s="217" t="s">
        <v>68</v>
      </c>
    </row>
    <row r="22" spans="2:8">
      <c r="B22" s="146" t="s">
        <v>120</v>
      </c>
      <c r="C22" s="242">
        <v>102.06</v>
      </c>
      <c r="D22" s="242">
        <v>108.19</v>
      </c>
      <c r="E22" s="242">
        <v>116.37</v>
      </c>
      <c r="F22" s="242">
        <v>106.61</v>
      </c>
      <c r="G22" s="242">
        <v>105.14</v>
      </c>
      <c r="H22" s="217" t="s">
        <v>173</v>
      </c>
    </row>
    <row r="23" spans="2:8">
      <c r="B23" s="146" t="s">
        <v>121</v>
      </c>
      <c r="C23" s="242">
        <v>102.06</v>
      </c>
      <c r="D23" s="242">
        <v>108.19</v>
      </c>
      <c r="E23" s="242">
        <v>116.37</v>
      </c>
      <c r="F23" s="242">
        <v>106.61</v>
      </c>
      <c r="G23" s="242">
        <v>105.14</v>
      </c>
      <c r="H23" s="217" t="s">
        <v>173</v>
      </c>
    </row>
    <row r="24" spans="2:8">
      <c r="B24" s="146" t="s">
        <v>122</v>
      </c>
      <c r="C24" s="242">
        <f>95.36</f>
        <v>95.36</v>
      </c>
      <c r="D24" s="242">
        <f>105.64</f>
        <v>105.64</v>
      </c>
      <c r="E24" s="242">
        <f>114.52</f>
        <v>114.52</v>
      </c>
      <c r="F24" s="242">
        <f>120.99</f>
        <v>120.99</v>
      </c>
      <c r="G24" s="242">
        <f>126.68</f>
        <v>126.68</v>
      </c>
      <c r="H24" s="169"/>
    </row>
    <row r="25" spans="2:8">
      <c r="B25" s="26"/>
      <c r="C25" s="27"/>
      <c r="D25" s="27"/>
      <c r="E25" s="27"/>
      <c r="F25" s="27"/>
      <c r="G25" s="27"/>
      <c r="H25" s="6"/>
    </row>
    <row r="26" spans="2:8">
      <c r="B26" s="160" t="s">
        <v>180</v>
      </c>
      <c r="C26" s="23">
        <v>2020</v>
      </c>
      <c r="D26" s="23">
        <v>2021</v>
      </c>
      <c r="E26" s="23">
        <v>2022</v>
      </c>
      <c r="F26" s="23">
        <v>2023</v>
      </c>
      <c r="G26" s="23">
        <v>2024</v>
      </c>
      <c r="H26" s="6"/>
    </row>
    <row r="27" spans="2:8">
      <c r="B27" s="146" t="s">
        <v>31</v>
      </c>
      <c r="C27" s="124">
        <f t="shared" ref="C27:C46" si="0">$C5/C5</f>
        <v>1</v>
      </c>
      <c r="D27" s="124">
        <f>C27*D5/100</f>
        <v>1.0308999999999999</v>
      </c>
      <c r="E27" s="124">
        <f t="shared" ref="D27:G46" si="1">D27*E5/100</f>
        <v>1.1067742399999998</v>
      </c>
      <c r="F27" s="124">
        <f t="shared" si="1"/>
        <v>1.2164555671839998</v>
      </c>
      <c r="G27" s="124">
        <f t="shared" si="1"/>
        <v>1.3444266928517568</v>
      </c>
      <c r="H27" s="6"/>
    </row>
    <row r="28" spans="2:8">
      <c r="B28" s="146" t="s">
        <v>32</v>
      </c>
      <c r="C28" s="124">
        <f t="shared" si="0"/>
        <v>1</v>
      </c>
      <c r="D28" s="124">
        <f t="shared" si="1"/>
        <v>1.2809999999999999</v>
      </c>
      <c r="E28" s="124">
        <f t="shared" si="1"/>
        <v>1.7890445999999998</v>
      </c>
      <c r="F28" s="124">
        <f t="shared" si="1"/>
        <v>1.6546873505399997</v>
      </c>
      <c r="G28" s="124">
        <f t="shared" si="1"/>
        <v>1.5717875142779456</v>
      </c>
      <c r="H28" s="6"/>
    </row>
    <row r="29" spans="2:8">
      <c r="B29" s="146" t="s">
        <v>33</v>
      </c>
      <c r="C29" s="124">
        <f t="shared" si="0"/>
        <v>1</v>
      </c>
      <c r="D29" s="124">
        <f t="shared" si="1"/>
        <v>1.0819000000000001</v>
      </c>
      <c r="E29" s="124">
        <f t="shared" si="1"/>
        <v>1.2590070300000002</v>
      </c>
      <c r="F29" s="124">
        <f t="shared" si="1"/>
        <v>1.3422273946830003</v>
      </c>
      <c r="G29" s="124">
        <f t="shared" si="1"/>
        <v>1.4112178827697064</v>
      </c>
      <c r="H29" s="28"/>
    </row>
    <row r="30" spans="2:8">
      <c r="B30" s="146" t="s">
        <v>34</v>
      </c>
      <c r="C30" s="124">
        <f t="shared" si="0"/>
        <v>1</v>
      </c>
      <c r="D30" s="124">
        <f t="shared" si="1"/>
        <v>1.0285</v>
      </c>
      <c r="E30" s="124">
        <f t="shared" si="1"/>
        <v>1.1912087</v>
      </c>
      <c r="F30" s="124">
        <f t="shared" si="1"/>
        <v>1.2788816603199999</v>
      </c>
      <c r="G30" s="124">
        <f t="shared" si="1"/>
        <v>1.3591954285880958</v>
      </c>
      <c r="H30" s="6"/>
    </row>
    <row r="31" spans="2:8">
      <c r="B31" s="146" t="s">
        <v>35</v>
      </c>
      <c r="C31" s="124">
        <f t="shared" ca="1" si="0"/>
        <v>1</v>
      </c>
      <c r="D31" s="124">
        <f t="shared" ca="1" si="1"/>
        <v>2.2551142079808866</v>
      </c>
      <c r="E31" s="124">
        <f t="shared" ca="1" si="1"/>
        <v>1.1932419576384103</v>
      </c>
      <c r="F31" s="124">
        <f t="shared" ca="1" si="1"/>
        <v>0.64089421142714575</v>
      </c>
      <c r="G31" s="124">
        <f t="shared" ca="1" si="1"/>
        <v>2.3646267850420029</v>
      </c>
      <c r="H31" s="6"/>
    </row>
    <row r="32" spans="2:8">
      <c r="B32" s="146" t="s">
        <v>36</v>
      </c>
      <c r="C32" s="124">
        <f t="shared" si="0"/>
        <v>1</v>
      </c>
      <c r="D32" s="124">
        <f t="shared" si="1"/>
        <v>1.0819000000000001</v>
      </c>
      <c r="E32" s="124">
        <f t="shared" si="1"/>
        <v>1.2590070300000002</v>
      </c>
      <c r="F32" s="124">
        <f t="shared" si="1"/>
        <v>1.3422273946830003</v>
      </c>
      <c r="G32" s="124">
        <f t="shared" si="1"/>
        <v>1.4112178827697064</v>
      </c>
      <c r="H32" s="6"/>
    </row>
    <row r="33" spans="2:8">
      <c r="B33" s="146" t="s">
        <v>37</v>
      </c>
      <c r="C33" s="124">
        <f t="shared" si="0"/>
        <v>1</v>
      </c>
      <c r="D33" s="124">
        <f t="shared" si="1"/>
        <v>1.0819000000000001</v>
      </c>
      <c r="E33" s="124">
        <f t="shared" si="1"/>
        <v>1.2590070300000002</v>
      </c>
      <c r="F33" s="124">
        <f t="shared" si="1"/>
        <v>1.3422273946830003</v>
      </c>
      <c r="G33" s="124">
        <f t="shared" si="1"/>
        <v>1.4112178827697064</v>
      </c>
      <c r="H33" s="6"/>
    </row>
    <row r="34" spans="2:8">
      <c r="B34" s="146" t="s">
        <v>38</v>
      </c>
      <c r="C34" s="124">
        <f t="shared" si="0"/>
        <v>1</v>
      </c>
      <c r="D34" s="124">
        <f t="shared" si="1"/>
        <v>1.0819000000000001</v>
      </c>
      <c r="E34" s="124">
        <f t="shared" si="1"/>
        <v>1.2590070300000002</v>
      </c>
      <c r="F34" s="124">
        <f t="shared" si="1"/>
        <v>1.3422273946830003</v>
      </c>
      <c r="G34" s="124">
        <f t="shared" si="1"/>
        <v>1.4112178827697064</v>
      </c>
      <c r="H34" s="6"/>
    </row>
    <row r="35" spans="2:8">
      <c r="B35" s="146" t="s">
        <v>39</v>
      </c>
      <c r="C35" s="124">
        <f t="shared" si="0"/>
        <v>1</v>
      </c>
      <c r="D35" s="124">
        <f t="shared" si="1"/>
        <v>1.2809999999999999</v>
      </c>
      <c r="E35" s="124">
        <f t="shared" si="1"/>
        <v>1.7890445999999998</v>
      </c>
      <c r="F35" s="124">
        <f t="shared" si="1"/>
        <v>1.6546873505399997</v>
      </c>
      <c r="G35" s="124">
        <f t="shared" si="1"/>
        <v>1.5717875142779456</v>
      </c>
      <c r="H35" s="6"/>
    </row>
    <row r="36" spans="2:8">
      <c r="B36" s="146" t="s">
        <v>40</v>
      </c>
      <c r="C36" s="124">
        <f t="shared" si="0"/>
        <v>1</v>
      </c>
      <c r="D36" s="124">
        <f t="shared" si="1"/>
        <v>1.0819000000000001</v>
      </c>
      <c r="E36" s="124">
        <f t="shared" si="1"/>
        <v>1.2590070300000002</v>
      </c>
      <c r="F36" s="124">
        <f t="shared" si="1"/>
        <v>1.3422273946830003</v>
      </c>
      <c r="G36" s="124">
        <f t="shared" si="1"/>
        <v>1.4112178827697064</v>
      </c>
      <c r="H36" s="6"/>
    </row>
    <row r="37" spans="2:8">
      <c r="B37" s="146" t="s">
        <v>41</v>
      </c>
      <c r="C37" s="124">
        <f t="shared" si="0"/>
        <v>1</v>
      </c>
      <c r="D37" s="124">
        <f t="shared" si="1"/>
        <v>1.0448999999999999</v>
      </c>
      <c r="E37" s="124">
        <f t="shared" si="1"/>
        <v>1.1470912199999999</v>
      </c>
      <c r="F37" s="124">
        <f t="shared" si="1"/>
        <v>1.2756801457619997</v>
      </c>
      <c r="G37" s="124">
        <f t="shared" si="1"/>
        <v>1.3662534361111016</v>
      </c>
      <c r="H37" s="6"/>
    </row>
    <row r="38" spans="2:8">
      <c r="B38" s="146" t="s">
        <v>42</v>
      </c>
      <c r="C38" s="124">
        <f t="shared" si="0"/>
        <v>1</v>
      </c>
      <c r="D38" s="124">
        <f t="shared" si="1"/>
        <v>1.0448999999999999</v>
      </c>
      <c r="E38" s="124">
        <f t="shared" si="1"/>
        <v>1.1470912199999999</v>
      </c>
      <c r="F38" s="124">
        <f t="shared" si="1"/>
        <v>1.2756801457619997</v>
      </c>
      <c r="G38" s="124">
        <f t="shared" si="1"/>
        <v>1.3662534361111016</v>
      </c>
      <c r="H38" s="6"/>
    </row>
    <row r="39" spans="2:8">
      <c r="B39" s="146" t="s">
        <v>43</v>
      </c>
      <c r="C39" s="124">
        <f t="shared" si="0"/>
        <v>1</v>
      </c>
      <c r="D39" s="124">
        <f t="shared" si="1"/>
        <v>0.66038968513628926</v>
      </c>
      <c r="E39" s="124">
        <f t="shared" si="1"/>
        <v>1.368688836534778</v>
      </c>
      <c r="F39" s="124">
        <f t="shared" si="1"/>
        <v>1.6309979671826096</v>
      </c>
      <c r="G39" s="124">
        <f t="shared" si="1"/>
        <v>1.1401804588587225</v>
      </c>
      <c r="H39" s="6"/>
    </row>
    <row r="40" spans="2:8">
      <c r="B40" s="146" t="s">
        <v>44</v>
      </c>
      <c r="C40" s="124">
        <f t="shared" si="0"/>
        <v>1</v>
      </c>
      <c r="D40" s="124">
        <f t="shared" si="1"/>
        <v>1.0819000000000001</v>
      </c>
      <c r="E40" s="124">
        <f t="shared" si="1"/>
        <v>1.2590070300000002</v>
      </c>
      <c r="F40" s="124">
        <f t="shared" si="1"/>
        <v>1.3422273946830003</v>
      </c>
      <c r="G40" s="124">
        <f t="shared" si="1"/>
        <v>1.4112178827697064</v>
      </c>
      <c r="H40" s="6"/>
    </row>
    <row r="41" spans="2:8">
      <c r="B41" s="146" t="s">
        <v>45</v>
      </c>
      <c r="C41" s="124">
        <f t="shared" si="0"/>
        <v>1</v>
      </c>
      <c r="D41" s="124">
        <f t="shared" si="1"/>
        <v>1.1505873054306464</v>
      </c>
      <c r="E41" s="124">
        <f t="shared" si="1"/>
        <v>1.3238511474181556</v>
      </c>
      <c r="F41" s="124">
        <f t="shared" si="1"/>
        <v>1.1815330377532844</v>
      </c>
      <c r="G41" s="124">
        <f t="shared" si="1"/>
        <v>0.83482495285736991</v>
      </c>
      <c r="H41" s="6"/>
    </row>
    <row r="42" spans="2:8">
      <c r="B42" s="146" t="s">
        <v>46</v>
      </c>
      <c r="C42" s="124">
        <f t="shared" si="0"/>
        <v>1</v>
      </c>
      <c r="D42" s="124">
        <f t="shared" si="1"/>
        <v>1.0819000000000001</v>
      </c>
      <c r="E42" s="124">
        <f t="shared" si="1"/>
        <v>1.2590070300000002</v>
      </c>
      <c r="F42" s="124">
        <f t="shared" si="1"/>
        <v>1.3422273946830003</v>
      </c>
      <c r="G42" s="124">
        <f t="shared" si="1"/>
        <v>1.4112178827697064</v>
      </c>
      <c r="H42" s="6"/>
    </row>
    <row r="43" spans="2:8">
      <c r="B43" s="146" t="s">
        <v>47</v>
      </c>
      <c r="C43" s="124">
        <f t="shared" si="0"/>
        <v>1</v>
      </c>
      <c r="D43" s="124">
        <f t="shared" si="1"/>
        <v>1.0144</v>
      </c>
      <c r="E43" s="124">
        <f t="shared" si="1"/>
        <v>1.01328416</v>
      </c>
      <c r="F43" s="124">
        <f t="shared" si="1"/>
        <v>1.0599965597759999</v>
      </c>
      <c r="G43" s="124">
        <f t="shared" si="1"/>
        <v>1.0608445570238207</v>
      </c>
      <c r="H43" s="6"/>
    </row>
    <row r="44" spans="2:8">
      <c r="B44" s="146" t="s">
        <v>120</v>
      </c>
      <c r="C44" s="124">
        <f t="shared" si="0"/>
        <v>1</v>
      </c>
      <c r="D44" s="124">
        <f>C44*D22/100</f>
        <v>1.0819000000000001</v>
      </c>
      <c r="E44" s="124">
        <f>D44*E22/100</f>
        <v>1.2590070300000002</v>
      </c>
      <c r="F44" s="124">
        <f t="shared" si="1"/>
        <v>1.3422273946830003</v>
      </c>
      <c r="G44" s="124">
        <f t="shared" si="1"/>
        <v>1.4112178827697064</v>
      </c>
      <c r="H44" s="28"/>
    </row>
    <row r="45" spans="2:8">
      <c r="B45" s="146" t="s">
        <v>121</v>
      </c>
      <c r="C45" s="124">
        <f t="shared" si="0"/>
        <v>1</v>
      </c>
      <c r="D45" s="124">
        <f t="shared" si="1"/>
        <v>1.0819000000000001</v>
      </c>
      <c r="E45" s="124">
        <f t="shared" si="1"/>
        <v>1.2590070300000002</v>
      </c>
      <c r="F45" s="124">
        <f t="shared" si="1"/>
        <v>1.3422273946830003</v>
      </c>
      <c r="G45" s="124">
        <f>F45*G23/100</f>
        <v>1.4112178827697064</v>
      </c>
    </row>
    <row r="46" spans="2:8">
      <c r="B46" s="146" t="s">
        <v>122</v>
      </c>
      <c r="C46" s="161">
        <f t="shared" si="0"/>
        <v>1</v>
      </c>
      <c r="D46" s="161">
        <f t="shared" si="1"/>
        <v>1.0564</v>
      </c>
      <c r="E46" s="161">
        <f t="shared" si="1"/>
        <v>1.2097892799999999</v>
      </c>
      <c r="F46" s="161">
        <f t="shared" si="1"/>
        <v>1.4637240498719999</v>
      </c>
      <c r="G46" s="250">
        <f t="shared" si="1"/>
        <v>1.8542456263778495</v>
      </c>
    </row>
    <row r="49" spans="3:8">
      <c r="C49" s="155"/>
      <c r="D49" s="155"/>
      <c r="E49" s="155"/>
      <c r="F49" s="155"/>
      <c r="G49" s="155"/>
      <c r="H49" s="156"/>
    </row>
  </sheetData>
  <phoneticPr fontId="8" type="noConversion"/>
  <pageMargins left="0.75" right="0.75" top="1" bottom="1" header="0.4921259845" footer="0.4921259845"/>
  <pageSetup paperSize="9" scale="7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2" tint="-9.9978637043366805E-2"/>
    <pageSetUpPr fitToPage="1"/>
  </sheetPr>
  <dimension ref="B1:G19"/>
  <sheetViews>
    <sheetView zoomScaleNormal="100" workbookViewId="0">
      <selection activeCell="C5" sqref="C5"/>
    </sheetView>
  </sheetViews>
  <sheetFormatPr defaultColWidth="9.109375" defaultRowHeight="13.2"/>
  <cols>
    <col min="1" max="1" width="3.6640625" style="1" customWidth="1"/>
    <col min="2" max="2" width="45.6640625" style="1" customWidth="1"/>
    <col min="3" max="4" width="13.88671875" style="1" bestFit="1" customWidth="1"/>
    <col min="5" max="5" width="13.5546875" style="1" bestFit="1" customWidth="1"/>
    <col min="6" max="7" width="13.88671875" style="1" bestFit="1" customWidth="1"/>
    <col min="8" max="16384" width="9.109375" style="1"/>
  </cols>
  <sheetData>
    <row r="1" spans="2:7" s="143" customFormat="1">
      <c r="B1" s="173" t="s">
        <v>181</v>
      </c>
    </row>
    <row r="2" spans="2:7" ht="27" customHeight="1">
      <c r="B2" s="86" t="s">
        <v>73</v>
      </c>
      <c r="C2" s="7"/>
      <c r="D2" s="7"/>
      <c r="E2" s="7"/>
      <c r="F2" s="7"/>
      <c r="G2" s="7"/>
    </row>
    <row r="3" spans="2:7">
      <c r="B3" s="74" t="s">
        <v>58</v>
      </c>
      <c r="C3" s="32"/>
      <c r="D3" s="32"/>
      <c r="E3" s="32"/>
      <c r="F3" s="32"/>
      <c r="G3" s="32"/>
    </row>
    <row r="4" spans="2:7">
      <c r="B4" s="33"/>
      <c r="C4" s="34">
        <v>2020</v>
      </c>
      <c r="D4" s="34">
        <v>2021</v>
      </c>
      <c r="E4" s="34">
        <v>2022</v>
      </c>
      <c r="F4" s="34">
        <v>2023</v>
      </c>
      <c r="G4" s="253">
        <v>2024</v>
      </c>
    </row>
    <row r="5" spans="2:7">
      <c r="B5" s="35" t="s">
        <v>22</v>
      </c>
      <c r="C5" s="252">
        <v>24996</v>
      </c>
      <c r="D5" s="252">
        <v>24206</v>
      </c>
      <c r="E5" s="252">
        <v>23148</v>
      </c>
      <c r="F5" s="252">
        <v>21770</v>
      </c>
      <c r="G5" s="252">
        <v>20835</v>
      </c>
    </row>
    <row r="6" spans="2:7">
      <c r="B6" s="5" t="s">
        <v>160</v>
      </c>
      <c r="C6" s="317">
        <f ca="1">RAND()*1000000000</f>
        <v>36931403.997397691</v>
      </c>
      <c r="D6" s="317">
        <f t="shared" ref="D6:G6" ca="1" si="0">RAND()*1000000000</f>
        <v>304763455.60699648</v>
      </c>
      <c r="E6" s="317">
        <f t="shared" ca="1" si="0"/>
        <v>931016401.36026609</v>
      </c>
      <c r="F6" s="317">
        <f t="shared" ca="1" si="0"/>
        <v>660944157.0262959</v>
      </c>
      <c r="G6" s="317">
        <f t="shared" ca="1" si="0"/>
        <v>974215803.78061903</v>
      </c>
    </row>
    <row r="7" spans="2:7">
      <c r="B7" s="6"/>
      <c r="C7" s="6"/>
      <c r="D7" s="6"/>
      <c r="E7" s="6"/>
      <c r="F7" s="6"/>
      <c r="G7" s="184"/>
    </row>
    <row r="8" spans="2:7">
      <c r="B8" s="74" t="s">
        <v>111</v>
      </c>
      <c r="C8" s="36"/>
      <c r="D8" s="36"/>
      <c r="E8" s="36"/>
      <c r="F8" s="36"/>
      <c r="G8" s="263"/>
    </row>
    <row r="9" spans="2:7">
      <c r="B9" s="20" t="s">
        <v>112</v>
      </c>
      <c r="C9" s="251">
        <f t="shared" ref="C9:F9" ca="1" si="1">C6/C5</f>
        <v>1477.4925587053006</v>
      </c>
      <c r="D9" s="251">
        <f t="shared" ca="1" si="1"/>
        <v>12590.409634264086</v>
      </c>
      <c r="E9" s="251">
        <f t="shared" ca="1" si="1"/>
        <v>40220.165947825561</v>
      </c>
      <c r="F9" s="251">
        <f t="shared" ca="1" si="1"/>
        <v>30360.319569421034</v>
      </c>
      <c r="G9" s="264">
        <f ca="1">G6/G5</f>
        <v>46758.617892038354</v>
      </c>
    </row>
    <row r="10" spans="2:7">
      <c r="B10" s="3" t="s">
        <v>74</v>
      </c>
      <c r="C10" s="122">
        <f ca="1">C9/$C$9</f>
        <v>1</v>
      </c>
      <c r="D10" s="122">
        <f ca="1">D9/$C$9</f>
        <v>8.5214707580638027</v>
      </c>
      <c r="E10" s="122">
        <f ca="1">E9/$C$9</f>
        <v>27.221907623730946</v>
      </c>
      <c r="F10" s="122">
        <f ca="1">F9/$C$9</f>
        <v>20.548543131767257</v>
      </c>
      <c r="G10" s="261">
        <f t="shared" ref="G10" ca="1" si="2">G9/$C$9</f>
        <v>31.647278097300244</v>
      </c>
    </row>
    <row r="11" spans="2:7">
      <c r="B11" s="3" t="s">
        <v>75</v>
      </c>
      <c r="C11" s="29">
        <v>0.01</v>
      </c>
      <c r="D11" s="9">
        <f ca="1">LN(D10/C10)</f>
        <v>2.1425889501292765</v>
      </c>
      <c r="E11" s="9">
        <f ca="1">LN(E10/D10)</f>
        <v>1.161433126333181</v>
      </c>
      <c r="F11" s="9">
        <f t="shared" ref="F11" ca="1" si="3">LN(F10/E10)</f>
        <v>-0.28123203186457713</v>
      </c>
      <c r="G11" s="265">
        <f ca="1">LN(G10/F10)</f>
        <v>0.43186210020878535</v>
      </c>
    </row>
    <row r="12" spans="2:7">
      <c r="B12" s="3" t="s">
        <v>76</v>
      </c>
      <c r="C12" s="18">
        <f>1</f>
        <v>1</v>
      </c>
      <c r="D12" s="29">
        <f t="shared" ref="D12:G12" si="4">D5/$C$5</f>
        <v>0.96839494319091057</v>
      </c>
      <c r="E12" s="29">
        <f>E5/$C$5</f>
        <v>0.92606817090734517</v>
      </c>
      <c r="F12" s="29">
        <f t="shared" si="4"/>
        <v>0.87093935029604741</v>
      </c>
      <c r="G12" s="266">
        <f t="shared" si="4"/>
        <v>0.83353336533845412</v>
      </c>
    </row>
    <row r="13" spans="2:7">
      <c r="B13" s="145" t="s">
        <v>77</v>
      </c>
      <c r="C13" s="82">
        <v>0</v>
      </c>
      <c r="D13" s="82">
        <f>LN(D12/C12)</f>
        <v>-3.211527575042316E-2</v>
      </c>
      <c r="E13" s="82">
        <f t="shared" ref="E13:G13" si="5">LN(E12/D12)</f>
        <v>-4.469215260481977E-2</v>
      </c>
      <c r="F13" s="82">
        <f t="shared" si="5"/>
        <v>-6.1375508465136258E-2</v>
      </c>
      <c r="G13" s="82">
        <f t="shared" si="5"/>
        <v>-4.3898610372039376E-2</v>
      </c>
    </row>
    <row r="19" spans="3:3">
      <c r="C19" s="176"/>
    </row>
  </sheetData>
  <phoneticPr fontId="0" type="noConversion"/>
  <pageMargins left="0.75" right="0.75" top="1" bottom="1" header="0.5" footer="0.5"/>
  <pageSetup paperSize="9" orientation="landscape" r:id="rId1"/>
  <headerFooter alignWithMargins="0"/>
  <ignoredErrors>
    <ignoredError sqref="D12:G12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theme="2" tint="-9.9978637043366805E-2"/>
    <pageSetUpPr fitToPage="1"/>
  </sheetPr>
  <dimension ref="B1:L81"/>
  <sheetViews>
    <sheetView zoomScaleNormal="100" workbookViewId="0">
      <pane xSplit="2" ySplit="4" topLeftCell="C64" activePane="bottomRight" state="frozen"/>
      <selection pane="topRight" activeCell="C1" sqref="C1"/>
      <selection pane="bottomLeft" activeCell="A4" sqref="A4"/>
      <selection pane="bottomRight" activeCell="C32" sqref="C32"/>
    </sheetView>
  </sheetViews>
  <sheetFormatPr defaultColWidth="11.44140625" defaultRowHeight="13.2"/>
  <cols>
    <col min="1" max="1" width="3.6640625" style="24" customWidth="1"/>
    <col min="2" max="2" width="45.6640625" style="24" customWidth="1"/>
    <col min="3" max="6" width="14.33203125" style="24" bestFit="1" customWidth="1"/>
    <col min="7" max="7" width="14.33203125" style="178" bestFit="1" customWidth="1"/>
    <col min="8" max="16384" width="11.44140625" style="24"/>
  </cols>
  <sheetData>
    <row r="1" spans="2:7" s="143" customFormat="1">
      <c r="B1" s="173" t="s">
        <v>181</v>
      </c>
    </row>
    <row r="2" spans="2:7" ht="27" customHeight="1">
      <c r="B2" s="87" t="s">
        <v>5</v>
      </c>
      <c r="C2" s="6"/>
      <c r="D2" s="6"/>
      <c r="E2" s="6"/>
      <c r="F2" s="6"/>
      <c r="G2" s="184"/>
    </row>
    <row r="3" spans="2:7">
      <c r="B3" s="74" t="s">
        <v>79</v>
      </c>
      <c r="C3" s="36"/>
      <c r="D3" s="36"/>
      <c r="E3" s="36"/>
      <c r="F3" s="36"/>
      <c r="G3" s="263"/>
    </row>
    <row r="4" spans="2:7">
      <c r="B4" s="47" t="s">
        <v>23</v>
      </c>
      <c r="C4" s="45">
        <v>2020</v>
      </c>
      <c r="D4" s="45">
        <v>2021</v>
      </c>
      <c r="E4" s="45">
        <v>2022</v>
      </c>
      <c r="F4" s="45">
        <v>2023</v>
      </c>
      <c r="G4" s="267">
        <v>2024</v>
      </c>
    </row>
    <row r="5" spans="2:7">
      <c r="B5" s="314" t="s">
        <v>24</v>
      </c>
      <c r="C5" s="318">
        <f ca="1">RAND()*10000000</f>
        <v>218368.40601791695</v>
      </c>
      <c r="D5" s="318">
        <f t="shared" ref="D5:G5" ca="1" si="0">RAND()*10000000</f>
        <v>5590163.2795762876</v>
      </c>
      <c r="E5" s="318">
        <f t="shared" ca="1" si="0"/>
        <v>4200073.7078775465</v>
      </c>
      <c r="F5" s="318">
        <f t="shared" ca="1" si="0"/>
        <v>9335851.8707588818</v>
      </c>
      <c r="G5" s="318">
        <f t="shared" ca="1" si="0"/>
        <v>630112.14323511976</v>
      </c>
    </row>
    <row r="6" spans="2:7">
      <c r="B6" s="3" t="s">
        <v>31</v>
      </c>
      <c r="C6" s="319">
        <f ca="1">RAND()*100000000</f>
        <v>86658011.539725482</v>
      </c>
      <c r="D6" s="319">
        <f t="shared" ref="D6:G6" ca="1" si="1">RAND()*100000000</f>
        <v>36227861.66507563</v>
      </c>
      <c r="E6" s="319">
        <f t="shared" ca="1" si="1"/>
        <v>34917713.826035857</v>
      </c>
      <c r="F6" s="319">
        <f t="shared" ca="1" si="1"/>
        <v>61802274.759804673</v>
      </c>
      <c r="G6" s="319">
        <f t="shared" ca="1" si="1"/>
        <v>17117575.89819549</v>
      </c>
    </row>
    <row r="7" spans="2:7">
      <c r="B7" s="3" t="s">
        <v>32</v>
      </c>
      <c r="C7" s="319">
        <f t="shared" ref="C7:G22" ca="1" si="2">RAND()*100000000</f>
        <v>22512338.079162598</v>
      </c>
      <c r="D7" s="319">
        <f t="shared" ca="1" si="2"/>
        <v>65513004.218334384</v>
      </c>
      <c r="E7" s="319">
        <f t="shared" ca="1" si="2"/>
        <v>47707168.168201141</v>
      </c>
      <c r="F7" s="319">
        <f t="shared" ca="1" si="2"/>
        <v>67204685.037417606</v>
      </c>
      <c r="G7" s="319">
        <f t="shared" ca="1" si="2"/>
        <v>86987213.143616334</v>
      </c>
    </row>
    <row r="8" spans="2:7">
      <c r="B8" s="3" t="s">
        <v>33</v>
      </c>
      <c r="C8" s="319">
        <f t="shared" ca="1" si="2"/>
        <v>16787625.981719669</v>
      </c>
      <c r="D8" s="319">
        <f t="shared" ca="1" si="2"/>
        <v>37325151.320242181</v>
      </c>
      <c r="E8" s="319">
        <f t="shared" ca="1" si="2"/>
        <v>35942969.742945954</v>
      </c>
      <c r="F8" s="319">
        <f t="shared" ca="1" si="2"/>
        <v>72520349.203911051</v>
      </c>
      <c r="G8" s="319">
        <f t="shared" ca="1" si="2"/>
        <v>2219072.9790192097</v>
      </c>
    </row>
    <row r="9" spans="2:7">
      <c r="B9" s="3" t="s">
        <v>34</v>
      </c>
      <c r="C9" s="319">
        <f t="shared" ca="1" si="2"/>
        <v>15336535.763077475</v>
      </c>
      <c r="D9" s="319">
        <f t="shared" ca="1" si="2"/>
        <v>96377854.801286697</v>
      </c>
      <c r="E9" s="319">
        <f t="shared" ca="1" si="2"/>
        <v>87291957.647741243</v>
      </c>
      <c r="F9" s="319">
        <f t="shared" ca="1" si="2"/>
        <v>55294551.105645649</v>
      </c>
      <c r="G9" s="319">
        <f t="shared" ca="1" si="2"/>
        <v>33884209.890782848</v>
      </c>
    </row>
    <row r="10" spans="2:7">
      <c r="B10" s="3" t="s">
        <v>35</v>
      </c>
      <c r="C10" s="319">
        <f t="shared" ca="1" si="2"/>
        <v>38050485.13408915</v>
      </c>
      <c r="D10" s="319">
        <f t="shared" ca="1" si="2"/>
        <v>82566539.615879565</v>
      </c>
      <c r="E10" s="319">
        <f t="shared" ca="1" si="2"/>
        <v>39043585.891159393</v>
      </c>
      <c r="F10" s="319">
        <f t="shared" ca="1" si="2"/>
        <v>17716448.054768018</v>
      </c>
      <c r="G10" s="319">
        <f t="shared" ca="1" si="2"/>
        <v>55718075.175749451</v>
      </c>
    </row>
    <row r="11" spans="2:7">
      <c r="B11" s="3" t="s">
        <v>36</v>
      </c>
      <c r="C11" s="319">
        <f t="shared" ca="1" si="2"/>
        <v>49246550.459907591</v>
      </c>
      <c r="D11" s="319">
        <f t="shared" ca="1" si="2"/>
        <v>80719678.236224085</v>
      </c>
      <c r="E11" s="319">
        <f t="shared" ca="1" si="2"/>
        <v>60580627.470219947</v>
      </c>
      <c r="F11" s="319">
        <f t="shared" ca="1" si="2"/>
        <v>30601561.370870776</v>
      </c>
      <c r="G11" s="319">
        <f t="shared" ca="1" si="2"/>
        <v>54466746.905026309</v>
      </c>
    </row>
    <row r="12" spans="2:7">
      <c r="B12" s="3" t="s">
        <v>37</v>
      </c>
      <c r="C12" s="319">
        <f t="shared" ca="1" si="2"/>
        <v>16491735.572735878</v>
      </c>
      <c r="D12" s="319">
        <f t="shared" ca="1" si="2"/>
        <v>77465305.568913117</v>
      </c>
      <c r="E12" s="319">
        <f t="shared" ca="1" si="2"/>
        <v>55217183.575740255</v>
      </c>
      <c r="F12" s="319">
        <f t="shared" ca="1" si="2"/>
        <v>4390148.6011339584</v>
      </c>
      <c r="G12" s="319">
        <f t="shared" ca="1" si="2"/>
        <v>11544507.236980261</v>
      </c>
    </row>
    <row r="13" spans="2:7">
      <c r="B13" s="3" t="s">
        <v>38</v>
      </c>
      <c r="C13" s="319">
        <f t="shared" ca="1" si="2"/>
        <v>21854194.876727305</v>
      </c>
      <c r="D13" s="319">
        <f t="shared" ca="1" si="2"/>
        <v>42798862.672812201</v>
      </c>
      <c r="E13" s="319">
        <f t="shared" ca="1" si="2"/>
        <v>93827623.294528753</v>
      </c>
      <c r="F13" s="319">
        <f t="shared" ca="1" si="2"/>
        <v>73367406.711686417</v>
      </c>
      <c r="G13" s="319">
        <f t="shared" ca="1" si="2"/>
        <v>92848761.224824801</v>
      </c>
    </row>
    <row r="14" spans="2:7">
      <c r="B14" s="3" t="s">
        <v>39</v>
      </c>
      <c r="C14" s="319">
        <f t="shared" ca="1" si="2"/>
        <v>88298875.923252955</v>
      </c>
      <c r="D14" s="319">
        <f t="shared" ca="1" si="2"/>
        <v>15809179.200524481</v>
      </c>
      <c r="E14" s="319">
        <f t="shared" ca="1" si="2"/>
        <v>12269873.626908345</v>
      </c>
      <c r="F14" s="319">
        <f t="shared" ca="1" si="2"/>
        <v>27630220.437035669</v>
      </c>
      <c r="G14" s="319">
        <f t="shared" ca="1" si="2"/>
        <v>40376511.7038697</v>
      </c>
    </row>
    <row r="15" spans="2:7">
      <c r="B15" s="3" t="s">
        <v>40</v>
      </c>
      <c r="C15" s="319">
        <f t="shared" ca="1" si="2"/>
        <v>78760168.225647047</v>
      </c>
      <c r="D15" s="319">
        <f t="shared" ca="1" si="2"/>
        <v>80777309.264185786</v>
      </c>
      <c r="E15" s="319">
        <f t="shared" ca="1" si="2"/>
        <v>9602241.6492665745</v>
      </c>
      <c r="F15" s="319">
        <f t="shared" ca="1" si="2"/>
        <v>94297961.990077794</v>
      </c>
      <c r="G15" s="319">
        <f t="shared" ca="1" si="2"/>
        <v>44422784.003449447</v>
      </c>
    </row>
    <row r="16" spans="2:7">
      <c r="B16" s="3" t="s">
        <v>41</v>
      </c>
      <c r="C16" s="319">
        <f t="shared" ca="1" si="2"/>
        <v>73658872.8773316</v>
      </c>
      <c r="D16" s="319">
        <f t="shared" ca="1" si="2"/>
        <v>51241584.262423679</v>
      </c>
      <c r="E16" s="319">
        <f t="shared" ca="1" si="2"/>
        <v>10021387.459729658</v>
      </c>
      <c r="F16" s="319">
        <f t="shared" ca="1" si="2"/>
        <v>88390359.973538652</v>
      </c>
      <c r="G16" s="319">
        <f t="shared" ca="1" si="2"/>
        <v>50576940.875990264</v>
      </c>
    </row>
    <row r="17" spans="2:12">
      <c r="B17" s="3" t="s">
        <v>42</v>
      </c>
      <c r="C17" s="319">
        <f t="shared" ca="1" si="2"/>
        <v>76474138.079089358</v>
      </c>
      <c r="D17" s="319">
        <f t="shared" ca="1" si="2"/>
        <v>4969820.0350294374</v>
      </c>
      <c r="E17" s="319">
        <f t="shared" ca="1" si="2"/>
        <v>22361341.203553576</v>
      </c>
      <c r="F17" s="319">
        <f t="shared" ca="1" si="2"/>
        <v>4173603.4982055137</v>
      </c>
      <c r="G17" s="319">
        <f t="shared" ca="1" si="2"/>
        <v>8314903.9134568945</v>
      </c>
    </row>
    <row r="18" spans="2:12">
      <c r="B18" s="3" t="s">
        <v>43</v>
      </c>
      <c r="C18" s="319">
        <f t="shared" ca="1" si="2"/>
        <v>13519244.530226404</v>
      </c>
      <c r="D18" s="319">
        <f t="shared" ca="1" si="2"/>
        <v>44930646.911195271</v>
      </c>
      <c r="E18" s="319">
        <f t="shared" ca="1" si="2"/>
        <v>5914211.885417697</v>
      </c>
      <c r="F18" s="319">
        <f t="shared" ca="1" si="2"/>
        <v>13124950.89412301</v>
      </c>
      <c r="G18" s="319">
        <f t="shared" ca="1" si="2"/>
        <v>47771440.741392687</v>
      </c>
    </row>
    <row r="19" spans="2:12">
      <c r="B19" s="3" t="s">
        <v>44</v>
      </c>
      <c r="C19" s="319">
        <f t="shared" ca="1" si="2"/>
        <v>97037249.867040426</v>
      </c>
      <c r="D19" s="319">
        <f t="shared" ca="1" si="2"/>
        <v>68580236.43871206</v>
      </c>
      <c r="E19" s="319">
        <f t="shared" ca="1" si="2"/>
        <v>76488366.811240345</v>
      </c>
      <c r="F19" s="319">
        <f t="shared" ca="1" si="2"/>
        <v>61247543.579764649</v>
      </c>
      <c r="G19" s="319">
        <f t="shared" ca="1" si="2"/>
        <v>66481998.071522444</v>
      </c>
    </row>
    <row r="20" spans="2:12">
      <c r="B20" s="3" t="s">
        <v>45</v>
      </c>
      <c r="C20" s="319">
        <f t="shared" ca="1" si="2"/>
        <v>45166001.131239332</v>
      </c>
      <c r="D20" s="319">
        <f t="shared" ca="1" si="2"/>
        <v>29073338.694439188</v>
      </c>
      <c r="E20" s="319">
        <f t="shared" ca="1" si="2"/>
        <v>40615779.222277068</v>
      </c>
      <c r="F20" s="319">
        <f t="shared" ca="1" si="2"/>
        <v>24526756.720956344</v>
      </c>
      <c r="G20" s="319">
        <f t="shared" ca="1" si="2"/>
        <v>46960144.636899851</v>
      </c>
    </row>
    <row r="21" spans="2:12">
      <c r="B21" s="3" t="s">
        <v>46</v>
      </c>
      <c r="C21" s="319">
        <f t="shared" ca="1" si="2"/>
        <v>72918724.550055951</v>
      </c>
      <c r="D21" s="319">
        <f t="shared" ca="1" si="2"/>
        <v>23508654.052026857</v>
      </c>
      <c r="E21" s="319">
        <f t="shared" ca="1" si="2"/>
        <v>79829270.308341652</v>
      </c>
      <c r="F21" s="319">
        <f t="shared" ca="1" si="2"/>
        <v>432198.06909531308</v>
      </c>
      <c r="G21" s="319">
        <f t="shared" ca="1" si="2"/>
        <v>35553316.102721654</v>
      </c>
    </row>
    <row r="22" spans="2:12">
      <c r="B22" s="146" t="s">
        <v>47</v>
      </c>
      <c r="C22" s="319">
        <f t="shared" ca="1" si="2"/>
        <v>98488102.38338317</v>
      </c>
      <c r="D22" s="319">
        <f t="shared" ca="1" si="2"/>
        <v>9391502.4866501931</v>
      </c>
      <c r="E22" s="319">
        <f t="shared" ca="1" si="2"/>
        <v>69769360.646493018</v>
      </c>
      <c r="F22" s="319">
        <f t="shared" ca="1" si="2"/>
        <v>42443759.758881316</v>
      </c>
      <c r="G22" s="319">
        <f t="shared" ca="1" si="2"/>
        <v>53389135.608507</v>
      </c>
    </row>
    <row r="23" spans="2:12" ht="21">
      <c r="B23" s="182" t="s">
        <v>155</v>
      </c>
      <c r="C23" s="320">
        <f ca="1">C24+[6]Muncă!C5</f>
        <v>1794599798.0137908</v>
      </c>
      <c r="D23" s="320">
        <f ca="1">D24+[6]Muncă!D5</f>
        <v>1667938089.5103402</v>
      </c>
      <c r="E23" s="320">
        <f ca="1">E24+[6]Muncă!E5</f>
        <v>1213578829.1088619</v>
      </c>
      <c r="F23" s="320">
        <f ca="1">F24+[6]Muncă!F5</f>
        <v>1562666332.2239656</v>
      </c>
      <c r="G23" s="320">
        <f ca="1">G24+[6]Muncă!G5</f>
        <v>1014124373.3871543</v>
      </c>
      <c r="H23" s="178"/>
      <c r="I23" s="218"/>
      <c r="J23" s="218"/>
      <c r="K23" s="218"/>
      <c r="L23" s="218"/>
    </row>
    <row r="24" spans="2:12">
      <c r="B24" s="183" t="s">
        <v>156</v>
      </c>
      <c r="C24" s="92">
        <f ca="1">SUM(C6:C22)</f>
        <v>911258854.97441125</v>
      </c>
      <c r="D24" s="92">
        <f t="shared" ref="D24:G24" ca="1" si="3">SUM(D6:D22)</f>
        <v>847276529.44395483</v>
      </c>
      <c r="E24" s="92">
        <f t="shared" ca="1" si="3"/>
        <v>781400662.42980051</v>
      </c>
      <c r="F24" s="92">
        <f ca="1">SUM(F6:F22)</f>
        <v>739164779.76691628</v>
      </c>
      <c r="G24" s="268">
        <f t="shared" ca="1" si="3"/>
        <v>748633338.11200476</v>
      </c>
    </row>
    <row r="25" spans="2:12">
      <c r="B25" s="184"/>
      <c r="C25" s="90"/>
      <c r="D25" s="90"/>
      <c r="E25" s="90"/>
      <c r="F25" s="90"/>
      <c r="G25" s="269"/>
    </row>
    <row r="26" spans="2:12">
      <c r="B26" s="223" t="s">
        <v>85</v>
      </c>
      <c r="C26" s="224"/>
      <c r="D26" s="224"/>
      <c r="E26" s="224"/>
      <c r="F26" s="224"/>
      <c r="G26" s="270"/>
    </row>
    <row r="27" spans="2:12">
      <c r="B27" s="221" t="s">
        <v>26</v>
      </c>
      <c r="C27" s="222">
        <f ca="1">Muncă!C6</f>
        <v>36931403.997397691</v>
      </c>
      <c r="D27" s="222">
        <f ca="1">Muncă!D6</f>
        <v>304763455.60699648</v>
      </c>
      <c r="E27" s="222">
        <f ca="1">Muncă!E6</f>
        <v>931016401.36026609</v>
      </c>
      <c r="F27" s="222">
        <f ca="1">Muncă!F6</f>
        <v>660944157.0262959</v>
      </c>
      <c r="G27" s="271">
        <f ca="1">Muncă!G6</f>
        <v>974215803.78061903</v>
      </c>
    </row>
    <row r="28" spans="2:12">
      <c r="B28" s="146" t="s">
        <v>25</v>
      </c>
      <c r="C28" s="91">
        <f ca="1">C5</f>
        <v>218368.40601791695</v>
      </c>
      <c r="D28" s="91">
        <f t="shared" ref="D28:G28" ca="1" si="4">D5</f>
        <v>5590163.2795762876</v>
      </c>
      <c r="E28" s="91">
        <f t="shared" ca="1" si="4"/>
        <v>4200073.7078775465</v>
      </c>
      <c r="F28" s="91">
        <f t="shared" ca="1" si="4"/>
        <v>9335851.8707588818</v>
      </c>
      <c r="G28" s="153">
        <f t="shared" ca="1" si="4"/>
        <v>630112.14323511976</v>
      </c>
    </row>
    <row r="29" spans="2:12">
      <c r="B29" s="146" t="s">
        <v>157</v>
      </c>
      <c r="C29" s="91">
        <f t="shared" ref="C29:G29" ca="1" si="5">C24</f>
        <v>911258854.97441125</v>
      </c>
      <c r="D29" s="91">
        <f t="shared" ca="1" si="5"/>
        <v>847276529.44395483</v>
      </c>
      <c r="E29" s="91">
        <f t="shared" ca="1" si="5"/>
        <v>781400662.42980051</v>
      </c>
      <c r="F29" s="91">
        <f t="shared" ca="1" si="5"/>
        <v>739164779.76691628</v>
      </c>
      <c r="G29" s="153">
        <f t="shared" ca="1" si="5"/>
        <v>748633338.11200476</v>
      </c>
    </row>
    <row r="30" spans="2:12">
      <c r="B30" s="39" t="s">
        <v>0</v>
      </c>
      <c r="C30" s="120">
        <f ca="1">SUM(C27:C29)</f>
        <v>948408627.37782681</v>
      </c>
      <c r="D30" s="120">
        <f t="shared" ref="D30:G30" ca="1" si="6">SUM(D27:D29)</f>
        <v>1157630148.3305275</v>
      </c>
      <c r="E30" s="120">
        <f ca="1">SUM(E27:E29)</f>
        <v>1716617137.4979441</v>
      </c>
      <c r="F30" s="120">
        <f t="shared" ca="1" si="6"/>
        <v>1409444788.6639709</v>
      </c>
      <c r="G30" s="203">
        <f t="shared" ca="1" si="6"/>
        <v>1723479254.0358589</v>
      </c>
    </row>
    <row r="31" spans="2:12">
      <c r="B31" s="40"/>
      <c r="C31" s="12"/>
      <c r="D31" s="12"/>
      <c r="E31" s="12"/>
      <c r="F31" s="12"/>
      <c r="G31" s="272"/>
    </row>
    <row r="32" spans="2:12">
      <c r="B32" s="74" t="s">
        <v>86</v>
      </c>
      <c r="C32" s="6"/>
      <c r="D32" s="6"/>
      <c r="E32" s="6"/>
      <c r="F32" s="6"/>
      <c r="G32" s="184"/>
    </row>
    <row r="33" spans="2:7">
      <c r="B33" s="146" t="s">
        <v>31</v>
      </c>
      <c r="C33" s="147">
        <f>'Indicii prețurilor'!C27</f>
        <v>1</v>
      </c>
      <c r="D33" s="147">
        <f>'Indicii prețurilor'!D27</f>
        <v>1.0308999999999999</v>
      </c>
      <c r="E33" s="147">
        <f>'Indicii prețurilor'!E27</f>
        <v>1.1067742399999998</v>
      </c>
      <c r="F33" s="147">
        <f>'Indicii prețurilor'!F27</f>
        <v>1.2164555671839998</v>
      </c>
      <c r="G33" s="147">
        <f>'Indicii prețurilor'!G27</f>
        <v>1.3444266928517568</v>
      </c>
    </row>
    <row r="34" spans="2:7">
      <c r="B34" s="146" t="s">
        <v>32</v>
      </c>
      <c r="C34" s="147">
        <f>'Indicii prețurilor'!C28</f>
        <v>1</v>
      </c>
      <c r="D34" s="147">
        <f>'Indicii prețurilor'!D28</f>
        <v>1.2809999999999999</v>
      </c>
      <c r="E34" s="147">
        <f>'Indicii prețurilor'!E28</f>
        <v>1.7890445999999998</v>
      </c>
      <c r="F34" s="147">
        <f>'Indicii prețurilor'!F28</f>
        <v>1.6546873505399997</v>
      </c>
      <c r="G34" s="147">
        <f>'Indicii prețurilor'!G28</f>
        <v>1.5717875142779456</v>
      </c>
    </row>
    <row r="35" spans="2:7">
      <c r="B35" s="146" t="s">
        <v>33</v>
      </c>
      <c r="C35" s="147">
        <f>'Indicii prețurilor'!C29</f>
        <v>1</v>
      </c>
      <c r="D35" s="147">
        <f>'Indicii prețurilor'!D29</f>
        <v>1.0819000000000001</v>
      </c>
      <c r="E35" s="147">
        <f>'Indicii prețurilor'!E29</f>
        <v>1.2590070300000002</v>
      </c>
      <c r="F35" s="147">
        <f>'Indicii prețurilor'!F29</f>
        <v>1.3422273946830003</v>
      </c>
      <c r="G35" s="147">
        <f>'Indicii prețurilor'!G29</f>
        <v>1.4112178827697064</v>
      </c>
    </row>
    <row r="36" spans="2:7">
      <c r="B36" s="146" t="s">
        <v>34</v>
      </c>
      <c r="C36" s="147">
        <f>'Indicii prețurilor'!C30</f>
        <v>1</v>
      </c>
      <c r="D36" s="147">
        <f>'Indicii prețurilor'!D30</f>
        <v>1.0285</v>
      </c>
      <c r="E36" s="147">
        <f>'Indicii prețurilor'!E30</f>
        <v>1.1912087</v>
      </c>
      <c r="F36" s="147">
        <f>'Indicii prețurilor'!F30</f>
        <v>1.2788816603199999</v>
      </c>
      <c r="G36" s="147">
        <f>'Indicii prețurilor'!G30</f>
        <v>1.3591954285880958</v>
      </c>
    </row>
    <row r="37" spans="2:7">
      <c r="B37" s="146" t="s">
        <v>35</v>
      </c>
      <c r="C37" s="147">
        <f ca="1">'Indicii prețurilor'!C31</f>
        <v>1</v>
      </c>
      <c r="D37" s="147">
        <f ca="1">'Indicii prețurilor'!D31</f>
        <v>2.2551142079808866</v>
      </c>
      <c r="E37" s="147">
        <f ca="1">'Indicii prețurilor'!E31</f>
        <v>1.1932419576384103</v>
      </c>
      <c r="F37" s="147">
        <f ca="1">'Indicii prețurilor'!F31</f>
        <v>0.64089421142714575</v>
      </c>
      <c r="G37" s="147">
        <f ca="1">'Indicii prețurilor'!G31</f>
        <v>2.3646267850420029</v>
      </c>
    </row>
    <row r="38" spans="2:7">
      <c r="B38" s="146" t="s">
        <v>36</v>
      </c>
      <c r="C38" s="147">
        <f>'Indicii prețurilor'!C32</f>
        <v>1</v>
      </c>
      <c r="D38" s="147">
        <f>'Indicii prețurilor'!D32</f>
        <v>1.0819000000000001</v>
      </c>
      <c r="E38" s="147">
        <f>'Indicii prețurilor'!E32</f>
        <v>1.2590070300000002</v>
      </c>
      <c r="F38" s="147">
        <f>'Indicii prețurilor'!F32</f>
        <v>1.3422273946830003</v>
      </c>
      <c r="G38" s="147">
        <f>'Indicii prețurilor'!G32</f>
        <v>1.4112178827697064</v>
      </c>
    </row>
    <row r="39" spans="2:7">
      <c r="B39" s="146" t="s">
        <v>37</v>
      </c>
      <c r="C39" s="147">
        <f>'Indicii prețurilor'!C33</f>
        <v>1</v>
      </c>
      <c r="D39" s="147">
        <f>'Indicii prețurilor'!D33</f>
        <v>1.0819000000000001</v>
      </c>
      <c r="E39" s="147">
        <f>'Indicii prețurilor'!E33</f>
        <v>1.2590070300000002</v>
      </c>
      <c r="F39" s="147">
        <f>'Indicii prețurilor'!F33</f>
        <v>1.3422273946830003</v>
      </c>
      <c r="G39" s="147">
        <f>'Indicii prețurilor'!G33</f>
        <v>1.4112178827697064</v>
      </c>
    </row>
    <row r="40" spans="2:7">
      <c r="B40" s="146" t="s">
        <v>38</v>
      </c>
      <c r="C40" s="147">
        <f>'Indicii prețurilor'!C34</f>
        <v>1</v>
      </c>
      <c r="D40" s="147">
        <f>'Indicii prețurilor'!D34</f>
        <v>1.0819000000000001</v>
      </c>
      <c r="E40" s="147">
        <f>'Indicii prețurilor'!E34</f>
        <v>1.2590070300000002</v>
      </c>
      <c r="F40" s="147">
        <f>'Indicii prețurilor'!F34</f>
        <v>1.3422273946830003</v>
      </c>
      <c r="G40" s="147">
        <f>'Indicii prețurilor'!G34</f>
        <v>1.4112178827697064</v>
      </c>
    </row>
    <row r="41" spans="2:7">
      <c r="B41" s="146" t="s">
        <v>39</v>
      </c>
      <c r="C41" s="147">
        <f>'Indicii prețurilor'!C35</f>
        <v>1</v>
      </c>
      <c r="D41" s="147">
        <f>'Indicii prețurilor'!D35</f>
        <v>1.2809999999999999</v>
      </c>
      <c r="E41" s="147">
        <f>'Indicii prețurilor'!E35</f>
        <v>1.7890445999999998</v>
      </c>
      <c r="F41" s="147">
        <f>'Indicii prețurilor'!F35</f>
        <v>1.6546873505399997</v>
      </c>
      <c r="G41" s="147">
        <f>'Indicii prețurilor'!G35</f>
        <v>1.5717875142779456</v>
      </c>
    </row>
    <row r="42" spans="2:7">
      <c r="B42" s="146" t="s">
        <v>40</v>
      </c>
      <c r="C42" s="147">
        <f>'Indicii prețurilor'!C36</f>
        <v>1</v>
      </c>
      <c r="D42" s="147">
        <f>'Indicii prețurilor'!D36</f>
        <v>1.0819000000000001</v>
      </c>
      <c r="E42" s="147">
        <f>'Indicii prețurilor'!E36</f>
        <v>1.2590070300000002</v>
      </c>
      <c r="F42" s="147">
        <f>'Indicii prețurilor'!F36</f>
        <v>1.3422273946830003</v>
      </c>
      <c r="G42" s="147">
        <f>'Indicii prețurilor'!G36</f>
        <v>1.4112178827697064</v>
      </c>
    </row>
    <row r="43" spans="2:7">
      <c r="B43" s="146" t="s">
        <v>41</v>
      </c>
      <c r="C43" s="147">
        <f>'Indicii prețurilor'!C37</f>
        <v>1</v>
      </c>
      <c r="D43" s="147">
        <f>'Indicii prețurilor'!D37</f>
        <v>1.0448999999999999</v>
      </c>
      <c r="E43" s="147">
        <f>'Indicii prețurilor'!E37</f>
        <v>1.1470912199999999</v>
      </c>
      <c r="F43" s="147">
        <f>'Indicii prețurilor'!F37</f>
        <v>1.2756801457619997</v>
      </c>
      <c r="G43" s="147">
        <f>'Indicii prețurilor'!G37</f>
        <v>1.3662534361111016</v>
      </c>
    </row>
    <row r="44" spans="2:7">
      <c r="B44" s="146" t="s">
        <v>42</v>
      </c>
      <c r="C44" s="147">
        <f>'Indicii prețurilor'!C38</f>
        <v>1</v>
      </c>
      <c r="D44" s="147">
        <f>'Indicii prețurilor'!D38</f>
        <v>1.0448999999999999</v>
      </c>
      <c r="E44" s="147">
        <f>'Indicii prețurilor'!E38</f>
        <v>1.1470912199999999</v>
      </c>
      <c r="F44" s="147">
        <f>'Indicii prețurilor'!F38</f>
        <v>1.2756801457619997</v>
      </c>
      <c r="G44" s="147">
        <f>'Indicii prețurilor'!G38</f>
        <v>1.3662534361111016</v>
      </c>
    </row>
    <row r="45" spans="2:7">
      <c r="B45" s="146" t="s">
        <v>43</v>
      </c>
      <c r="C45" s="147">
        <f>'Indicii prețurilor'!C39</f>
        <v>1</v>
      </c>
      <c r="D45" s="147">
        <f>'Indicii prețurilor'!D39</f>
        <v>0.66038968513628926</v>
      </c>
      <c r="E45" s="147">
        <f>'Indicii prețurilor'!E39</f>
        <v>1.368688836534778</v>
      </c>
      <c r="F45" s="147">
        <f>'Indicii prețurilor'!F39</f>
        <v>1.6309979671826096</v>
      </c>
      <c r="G45" s="147">
        <f>'Indicii prețurilor'!G39</f>
        <v>1.1401804588587225</v>
      </c>
    </row>
    <row r="46" spans="2:7">
      <c r="B46" s="146" t="s">
        <v>44</v>
      </c>
      <c r="C46" s="147">
        <f>'Indicii prețurilor'!C40</f>
        <v>1</v>
      </c>
      <c r="D46" s="147">
        <f>'Indicii prețurilor'!D40</f>
        <v>1.0819000000000001</v>
      </c>
      <c r="E46" s="147">
        <f>'Indicii prețurilor'!E40</f>
        <v>1.2590070300000002</v>
      </c>
      <c r="F46" s="147">
        <f>'Indicii prețurilor'!F40</f>
        <v>1.3422273946830003</v>
      </c>
      <c r="G46" s="147">
        <f>'Indicii prețurilor'!G40</f>
        <v>1.4112178827697064</v>
      </c>
    </row>
    <row r="47" spans="2:7">
      <c r="B47" s="146" t="s">
        <v>45</v>
      </c>
      <c r="C47" s="147">
        <f>'Indicii prețurilor'!C41</f>
        <v>1</v>
      </c>
      <c r="D47" s="147">
        <f>'Indicii prețurilor'!D41</f>
        <v>1.1505873054306464</v>
      </c>
      <c r="E47" s="147">
        <f>'Indicii prețurilor'!E41</f>
        <v>1.3238511474181556</v>
      </c>
      <c r="F47" s="147">
        <f>'Indicii prețurilor'!F41</f>
        <v>1.1815330377532844</v>
      </c>
      <c r="G47" s="147">
        <f>'Indicii prețurilor'!G41</f>
        <v>0.83482495285736991</v>
      </c>
    </row>
    <row r="48" spans="2:7">
      <c r="B48" s="146" t="s">
        <v>46</v>
      </c>
      <c r="C48" s="147">
        <f>'Indicii prețurilor'!C42</f>
        <v>1</v>
      </c>
      <c r="D48" s="147">
        <f>'Indicii prețurilor'!D42</f>
        <v>1.0819000000000001</v>
      </c>
      <c r="E48" s="147">
        <f>'Indicii prețurilor'!E42</f>
        <v>1.2590070300000002</v>
      </c>
      <c r="F48" s="147">
        <f>'Indicii prețurilor'!F42</f>
        <v>1.3422273946830003</v>
      </c>
      <c r="G48" s="147">
        <f>'Indicii prețurilor'!G42</f>
        <v>1.4112178827697064</v>
      </c>
    </row>
    <row r="49" spans="2:7">
      <c r="B49" s="146" t="s">
        <v>47</v>
      </c>
      <c r="C49" s="147">
        <f>'Indicii prețurilor'!C43</f>
        <v>1</v>
      </c>
      <c r="D49" s="147">
        <f>'Indicii prețurilor'!D43</f>
        <v>1.0144</v>
      </c>
      <c r="E49" s="147">
        <f>'Indicii prețurilor'!E43</f>
        <v>1.01328416</v>
      </c>
      <c r="F49" s="147">
        <f>'Indicii prețurilor'!F43</f>
        <v>1.0599965597759999</v>
      </c>
      <c r="G49" s="147">
        <f>'Indicii prețurilor'!G43</f>
        <v>1.0608445570238207</v>
      </c>
    </row>
    <row r="50" spans="2:7">
      <c r="B50" s="41"/>
      <c r="C50" s="42"/>
      <c r="D50" s="42"/>
      <c r="E50" s="42"/>
      <c r="F50" s="42"/>
      <c r="G50" s="273"/>
    </row>
    <row r="51" spans="2:7">
      <c r="B51" s="74" t="s">
        <v>153</v>
      </c>
      <c r="C51" s="36"/>
      <c r="D51" s="36"/>
      <c r="E51" s="36"/>
      <c r="F51" s="36"/>
      <c r="G51" s="263"/>
    </row>
    <row r="52" spans="2:7">
      <c r="B52" s="3" t="s">
        <v>31</v>
      </c>
      <c r="C52" s="8">
        <f t="shared" ref="C52:G52" ca="1" si="7">C6/C$24</f>
        <v>9.5097030955226106E-2</v>
      </c>
      <c r="D52" s="8">
        <f t="shared" ca="1" si="7"/>
        <v>4.2758013949531937E-2</v>
      </c>
      <c r="E52" s="8">
        <f t="shared" ca="1" si="7"/>
        <v>4.4686056084797338E-2</v>
      </c>
      <c r="F52" s="8">
        <f t="shared" ca="1" si="7"/>
        <v>8.3610957193189089E-2</v>
      </c>
      <c r="G52" s="274">
        <f t="shared" ca="1" si="7"/>
        <v>2.2865099677987478E-2</v>
      </c>
    </row>
    <row r="53" spans="2:7">
      <c r="B53" s="3" t="s">
        <v>32</v>
      </c>
      <c r="C53" s="43">
        <f t="shared" ref="C53:G53" ca="1" si="8">C7/C$24</f>
        <v>2.4704657690042153E-2</v>
      </c>
      <c r="D53" s="43">
        <f t="shared" ca="1" si="8"/>
        <v>7.7321868294084384E-2</v>
      </c>
      <c r="E53" s="43">
        <f t="shared" ca="1" si="8"/>
        <v>6.1053401234462172E-2</v>
      </c>
      <c r="F53" s="43">
        <f t="shared" ca="1" si="8"/>
        <v>9.0919760893652862E-2</v>
      </c>
      <c r="G53" s="275">
        <f t="shared" ca="1" si="8"/>
        <v>0.11619468265064356</v>
      </c>
    </row>
    <row r="54" spans="2:7">
      <c r="B54" s="3" t="s">
        <v>33</v>
      </c>
      <c r="C54" s="43">
        <f t="shared" ref="C54:G54" ca="1" si="9">C8/C$24</f>
        <v>1.8422455803945057E-2</v>
      </c>
      <c r="D54" s="43">
        <f t="shared" ca="1" si="9"/>
        <v>4.4053092494769908E-2</v>
      </c>
      <c r="E54" s="43">
        <f t="shared" ca="1" si="9"/>
        <v>4.5998130627608727E-2</v>
      </c>
      <c r="F54" s="43">
        <f t="shared" ca="1" si="9"/>
        <v>9.811120766167887E-2</v>
      </c>
      <c r="G54" s="275">
        <f t="shared" ca="1" si="9"/>
        <v>2.9641653210576218E-3</v>
      </c>
    </row>
    <row r="55" spans="2:7">
      <c r="B55" s="3" t="s">
        <v>34</v>
      </c>
      <c r="C55" s="43">
        <f t="shared" ref="C55:G55" ca="1" si="10">C9/C$24</f>
        <v>1.6830054028400234E-2</v>
      </c>
      <c r="D55" s="43">
        <f t="shared" ca="1" si="10"/>
        <v>0.11375017653862893</v>
      </c>
      <c r="E55" s="43">
        <f t="shared" ca="1" si="10"/>
        <v>0.11171216233206531</v>
      </c>
      <c r="F55" s="43">
        <f t="shared" ca="1" si="10"/>
        <v>7.4806798996946117E-2</v>
      </c>
      <c r="G55" s="275">
        <f t="shared" ca="1" si="10"/>
        <v>4.5261422602733935E-2</v>
      </c>
    </row>
    <row r="56" spans="2:7">
      <c r="B56" s="3" t="s">
        <v>35</v>
      </c>
      <c r="C56" s="43">
        <f t="shared" ref="C56:G56" ca="1" si="11">C10/C$24</f>
        <v>4.1755956528024774E-2</v>
      </c>
      <c r="D56" s="43">
        <f t="shared" ca="1" si="11"/>
        <v>9.7449341208667495E-2</v>
      </c>
      <c r="E56" s="43">
        <f t="shared" ca="1" si="11"/>
        <v>4.9966154072293219E-2</v>
      </c>
      <c r="F56" s="43">
        <f t="shared" ca="1" si="11"/>
        <v>2.3968198349973623E-2</v>
      </c>
      <c r="G56" s="275">
        <f t="shared" ca="1" si="11"/>
        <v>7.4426387844637162E-2</v>
      </c>
    </row>
    <row r="57" spans="2:7">
      <c r="B57" s="3" t="s">
        <v>36</v>
      </c>
      <c r="C57" s="43">
        <f t="shared" ref="C57:G57" ca="1" si="12">C11/C$24</f>
        <v>5.4042328577745859E-2</v>
      </c>
      <c r="D57" s="43">
        <f t="shared" ca="1" si="12"/>
        <v>9.5269578975825372E-2</v>
      </c>
      <c r="E57" s="43">
        <f t="shared" ca="1" si="12"/>
        <v>7.7528252000506073E-2</v>
      </c>
      <c r="F57" s="43">
        <f t="shared" ca="1" si="12"/>
        <v>4.1400188710994164E-2</v>
      </c>
      <c r="G57" s="275">
        <f t="shared" ca="1" si="12"/>
        <v>7.2754904346615426E-2</v>
      </c>
    </row>
    <row r="58" spans="2:7">
      <c r="B58" s="3" t="s">
        <v>37</v>
      </c>
      <c r="C58" s="43">
        <f t="shared" ref="C58:G58" ca="1" si="13">C12/C$24</f>
        <v>1.8097750691485986E-2</v>
      </c>
      <c r="D58" s="43">
        <f t="shared" ca="1" si="13"/>
        <v>9.1428598429076691E-2</v>
      </c>
      <c r="E58" s="43">
        <f t="shared" ca="1" si="13"/>
        <v>7.0664367501353201E-2</v>
      </c>
      <c r="F58" s="43">
        <f t="shared" ca="1" si="13"/>
        <v>5.9393368316579169E-3</v>
      </c>
      <c r="G58" s="275">
        <f t="shared" ca="1" si="13"/>
        <v>1.5420776298975161E-2</v>
      </c>
    </row>
    <row r="59" spans="2:7">
      <c r="B59" s="3" t="s">
        <v>38</v>
      </c>
      <c r="C59" s="43">
        <f t="shared" ref="C59:G59" ca="1" si="14">C13/C$24</f>
        <v>2.3982422510825406E-2</v>
      </c>
      <c r="D59" s="43">
        <f t="shared" ca="1" si="14"/>
        <v>5.051345243907554E-2</v>
      </c>
      <c r="E59" s="43">
        <f t="shared" ca="1" si="14"/>
        <v>0.12007620137250401</v>
      </c>
      <c r="F59" s="43">
        <f t="shared" ca="1" si="14"/>
        <v>9.9257173393491022E-2</v>
      </c>
      <c r="G59" s="275">
        <f t="shared" ca="1" si="14"/>
        <v>0.12402434743152392</v>
      </c>
    </row>
    <row r="60" spans="2:7">
      <c r="B60" s="3" t="s">
        <v>39</v>
      </c>
      <c r="C60" s="43">
        <f t="shared" ref="C60:G60" ca="1" si="15">C14/C$24</f>
        <v>9.6897687678143274E-2</v>
      </c>
      <c r="D60" s="43">
        <f t="shared" ca="1" si="15"/>
        <v>1.8658818757672453E-2</v>
      </c>
      <c r="E60" s="43">
        <f t="shared" ca="1" si="15"/>
        <v>1.5702410065477321E-2</v>
      </c>
      <c r="F60" s="43">
        <f t="shared" ca="1" si="15"/>
        <v>3.7380326002205373E-2</v>
      </c>
      <c r="G60" s="275">
        <f t="shared" ca="1" si="15"/>
        <v>5.3933627649679794E-2</v>
      </c>
    </row>
    <row r="61" spans="2:7">
      <c r="B61" s="3" t="s">
        <v>40</v>
      </c>
      <c r="C61" s="43">
        <f t="shared" ref="C61:G61" ca="1" si="16">C15/C$24</f>
        <v>8.643007175810509E-2</v>
      </c>
      <c r="D61" s="43">
        <f t="shared" ca="1" si="16"/>
        <v>9.5337598124189515E-2</v>
      </c>
      <c r="E61" s="43">
        <f t="shared" ca="1" si="16"/>
        <v>1.2288499499613902E-2</v>
      </c>
      <c r="F61" s="43">
        <f t="shared" ca="1" si="16"/>
        <v>0.12757366770074346</v>
      </c>
      <c r="G61" s="275">
        <f t="shared" ca="1" si="16"/>
        <v>5.9338506237887112E-2</v>
      </c>
    </row>
    <row r="62" spans="2:7">
      <c r="B62" s="3" t="s">
        <v>41</v>
      </c>
      <c r="C62" s="43">
        <f t="shared" ref="C62:G62" ca="1" si="17">C16/C$24</f>
        <v>8.0831996830801708E-2</v>
      </c>
      <c r="D62" s="43">
        <f t="shared" ca="1" si="17"/>
        <v>6.0477993289926459E-2</v>
      </c>
      <c r="E62" s="43">
        <f t="shared" ca="1" si="17"/>
        <v>1.2824902692771853E-2</v>
      </c>
      <c r="F62" s="43">
        <f t="shared" ca="1" si="17"/>
        <v>0.11958140105297108</v>
      </c>
      <c r="G62" s="275">
        <f t="shared" ca="1" si="17"/>
        <v>6.7559028300210877E-2</v>
      </c>
    </row>
    <row r="63" spans="2:7">
      <c r="B63" s="3" t="s">
        <v>42</v>
      </c>
      <c r="C63" s="43">
        <f t="shared" ref="C63:G67" ca="1" si="18">C17/C$24</f>
        <v>8.3921421077698941E-2</v>
      </c>
      <c r="D63" s="43">
        <f t="shared" ca="1" si="18"/>
        <v>5.8656411010122034E-3</v>
      </c>
      <c r="E63" s="43">
        <f t="shared" ca="1" si="18"/>
        <v>2.8616998012287294E-2</v>
      </c>
      <c r="F63" s="43">
        <f t="shared" ca="1" si="18"/>
        <v>5.6463776582017242E-3</v>
      </c>
      <c r="G63" s="275">
        <f t="shared" ca="1" si="18"/>
        <v>1.1106777497281162E-2</v>
      </c>
    </row>
    <row r="64" spans="2:7">
      <c r="B64" s="3" t="s">
        <v>43</v>
      </c>
      <c r="C64" s="43">
        <f t="shared" ca="1" si="18"/>
        <v>1.483578947565457E-2</v>
      </c>
      <c r="D64" s="43">
        <f t="shared" ca="1" si="18"/>
        <v>5.3029495506835375E-2</v>
      </c>
      <c r="E64" s="43">
        <f t="shared" ca="1" si="18"/>
        <v>7.5687315992632887E-3</v>
      </c>
      <c r="F64" s="43">
        <f t="shared" ca="1" si="18"/>
        <v>1.775646141887571E-2</v>
      </c>
      <c r="G64" s="275">
        <f t="shared" ca="1" si="18"/>
        <v>6.3811532708212756E-2</v>
      </c>
    </row>
    <row r="65" spans="2:7">
      <c r="B65" s="3" t="s">
        <v>44</v>
      </c>
      <c r="C65" s="43">
        <f t="shared" ca="1" si="18"/>
        <v>0.10648703092137886</v>
      </c>
      <c r="D65" s="43">
        <f t="shared" ca="1" si="18"/>
        <v>8.0941975913955105E-2</v>
      </c>
      <c r="E65" s="43">
        <f t="shared" ca="1" si="18"/>
        <v>9.7886232363044501E-2</v>
      </c>
      <c r="F65" s="43">
        <f t="shared" ca="1" si="18"/>
        <v>8.2860473410378235E-2</v>
      </c>
      <c r="G65" s="275">
        <f t="shared" ca="1" si="18"/>
        <v>8.8804485035604869E-2</v>
      </c>
    </row>
    <row r="66" spans="2:7">
      <c r="B66" s="3" t="s">
        <v>45</v>
      </c>
      <c r="C66" s="58">
        <f t="shared" ca="1" si="18"/>
        <v>4.9564403006550344E-2</v>
      </c>
      <c r="D66" s="58">
        <f t="shared" ca="1" si="18"/>
        <v>3.4313872371183524E-2</v>
      </c>
      <c r="E66" s="58">
        <f t="shared" ca="1" si="18"/>
        <v>5.197817352237772E-2</v>
      </c>
      <c r="F66" s="58">
        <f t="shared" ca="1" si="18"/>
        <v>3.3181717246715224E-2</v>
      </c>
      <c r="G66" s="275">
        <f t="shared" ca="1" si="18"/>
        <v>6.2727829828323825E-2</v>
      </c>
    </row>
    <row r="67" spans="2:7">
      <c r="B67" s="3" t="s">
        <v>46</v>
      </c>
      <c r="C67" s="58">
        <f t="shared" ca="1" si="18"/>
        <v>8.0019770619516845E-2</v>
      </c>
      <c r="D67" s="58">
        <f t="shared" ca="1" si="18"/>
        <v>2.7746141000099419E-2</v>
      </c>
      <c r="E67" s="58">
        <f t="shared" ca="1" si="18"/>
        <v>0.10216176431193306</v>
      </c>
      <c r="F67" s="58">
        <f t="shared" ca="1" si="18"/>
        <v>5.847113944357573E-4</v>
      </c>
      <c r="G67" s="275">
        <f t="shared" ca="1" si="18"/>
        <v>4.7490960250827677E-2</v>
      </c>
    </row>
    <row r="68" spans="2:7">
      <c r="B68" s="3" t="s">
        <v>47</v>
      </c>
      <c r="C68" s="58">
        <f t="shared" ref="C68:E68" ca="1" si="19">(C22)/C$24</f>
        <v>0.10807917184645496</v>
      </c>
      <c r="D68" s="58">
        <f t="shared" ca="1" si="19"/>
        <v>1.1084341605465677E-2</v>
      </c>
      <c r="E68" s="58">
        <f t="shared" ca="1" si="19"/>
        <v>8.9287562707640988E-2</v>
      </c>
      <c r="F68" s="58">
        <f t="shared" ref="F68:G68" ca="1" si="20">(F22)/F$24</f>
        <v>5.7421242083889969E-2</v>
      </c>
      <c r="G68" s="275">
        <f t="shared" ca="1" si="20"/>
        <v>7.1315466317797518E-2</v>
      </c>
    </row>
    <row r="69" spans="2:7">
      <c r="B69" s="50" t="s">
        <v>0</v>
      </c>
      <c r="C69" s="125">
        <f t="shared" ref="C69:G69" ca="1" si="21">SUM(C52:C68)</f>
        <v>1</v>
      </c>
      <c r="D69" s="125">
        <f t="shared" ca="1" si="21"/>
        <v>1</v>
      </c>
      <c r="E69" s="125">
        <f t="shared" ca="1" si="21"/>
        <v>1</v>
      </c>
      <c r="F69" s="125">
        <f t="shared" ca="1" si="21"/>
        <v>1.0000000000000002</v>
      </c>
      <c r="G69" s="276">
        <f t="shared" ca="1" si="21"/>
        <v>0.99999999999999967</v>
      </c>
    </row>
    <row r="70" spans="2:7">
      <c r="B70" s="40"/>
      <c r="C70" s="40"/>
      <c r="D70" s="40"/>
      <c r="E70" s="40"/>
      <c r="F70" s="40"/>
      <c r="G70" s="277"/>
    </row>
    <row r="71" spans="2:7">
      <c r="B71" s="74" t="s">
        <v>78</v>
      </c>
      <c r="C71" s="6"/>
      <c r="D71" s="6"/>
      <c r="E71" s="6"/>
      <c r="F71" s="6"/>
      <c r="G71" s="184"/>
    </row>
    <row r="72" spans="2:7">
      <c r="B72" s="20" t="s">
        <v>80</v>
      </c>
      <c r="C72" s="121">
        <v>1</v>
      </c>
      <c r="D72" s="121">
        <f t="shared" ref="D72:G72" ca="1" si="22">SUMPRODUCT(C52:C68,D33:D49)/SUMPRODUCT(C33:C49,C52:C68)</f>
        <v>1.1331108213978971</v>
      </c>
      <c r="E72" s="121">
        <f t="shared" ca="1" si="22"/>
        <v>1.0872195201892623</v>
      </c>
      <c r="F72" s="121">
        <f t="shared" ca="1" si="22"/>
        <v>1.0196052937786995</v>
      </c>
      <c r="G72" s="260">
        <f t="shared" ca="1" si="22"/>
        <v>1.0528090210921892</v>
      </c>
    </row>
    <row r="73" spans="2:7">
      <c r="B73" s="3" t="s">
        <v>81</v>
      </c>
      <c r="C73" s="122">
        <v>1</v>
      </c>
      <c r="D73" s="122">
        <f ca="1">SUMPRODUCT(D52:D68,D33:D49)/SUMPRODUCT(C33:C49,D52:D68)</f>
        <v>1.1838853288708857</v>
      </c>
      <c r="E73" s="122">
        <f t="shared" ref="E73:G73" ca="1" si="23">SUMPRODUCT(E52:E68,E33:E49)/SUMPRODUCT(D33:D49,E52:E68)</f>
        <v>1.1045899978062739</v>
      </c>
      <c r="F73" s="122">
        <f t="shared" ca="1" si="23"/>
        <v>1.0326411899403227</v>
      </c>
      <c r="G73" s="261">
        <f t="shared" ca="1" si="23"/>
        <v>1.0781619629566466</v>
      </c>
    </row>
    <row r="74" spans="2:7">
      <c r="B74" s="3" t="s">
        <v>82</v>
      </c>
      <c r="C74" s="122">
        <v>1</v>
      </c>
      <c r="D74" s="122">
        <f ca="1">(D72*D73)^0.5</f>
        <v>1.1582198743925132</v>
      </c>
      <c r="E74" s="122">
        <f t="shared" ref="E74:G74" ca="1" si="24">(E72*E73)^0.5</f>
        <v>1.0958703424314371</v>
      </c>
      <c r="F74" s="122">
        <f t="shared" ca="1" si="24"/>
        <v>1.0261025406055131</v>
      </c>
      <c r="G74" s="261">
        <f t="shared" ca="1" si="24"/>
        <v>1.0654100810482414</v>
      </c>
    </row>
    <row r="75" spans="2:7">
      <c r="B75" s="3" t="s">
        <v>124</v>
      </c>
      <c r="C75" s="122">
        <v>1</v>
      </c>
      <c r="D75" s="122">
        <f ca="1">C75*D74</f>
        <v>1.1582198743925132</v>
      </c>
      <c r="E75" s="122">
        <f t="shared" ref="E75:G75" ca="1" si="25">D75*E74</f>
        <v>1.2692588103614195</v>
      </c>
      <c r="F75" s="122">
        <f t="shared" ca="1" si="25"/>
        <v>1.3023896899977838</v>
      </c>
      <c r="G75" s="261">
        <f t="shared" ca="1" si="25"/>
        <v>1.3875791051769328</v>
      </c>
    </row>
    <row r="76" spans="2:7">
      <c r="B76" s="4" t="s">
        <v>83</v>
      </c>
      <c r="C76" s="197">
        <f ca="1">C24/C75</f>
        <v>911258854.97441125</v>
      </c>
      <c r="D76" s="197">
        <f t="shared" ref="D76:G76" ca="1" si="26">D24/D75</f>
        <v>731533405.85556066</v>
      </c>
      <c r="E76" s="197">
        <f t="shared" ca="1" si="26"/>
        <v>615635405.52245438</v>
      </c>
      <c r="F76" s="197">
        <f t="shared" ca="1" si="26"/>
        <v>567545017.7804879</v>
      </c>
      <c r="G76" s="278">
        <f t="shared" ca="1" si="26"/>
        <v>539524799.21247089</v>
      </c>
    </row>
    <row r="77" spans="2:7">
      <c r="B77" s="4" t="s">
        <v>113</v>
      </c>
      <c r="C77" s="123">
        <f ca="1">C76/$C$76</f>
        <v>1</v>
      </c>
      <c r="D77" s="123">
        <f ca="1">D76/$C$76</f>
        <v>0.80277234274568732</v>
      </c>
      <c r="E77" s="123">
        <f t="shared" ref="E77:G77" ca="1" si="27">E76/$C$76</f>
        <v>0.67558784439986796</v>
      </c>
      <c r="F77" s="123">
        <f t="shared" ca="1" si="27"/>
        <v>0.62281426916441318</v>
      </c>
      <c r="G77" s="279">
        <f t="shared" ca="1" si="27"/>
        <v>0.59206535691510087</v>
      </c>
    </row>
    <row r="78" spans="2:7">
      <c r="B78" s="145" t="s">
        <v>84</v>
      </c>
      <c r="C78" s="82"/>
      <c r="D78" s="81">
        <f ca="1">LN(D77/C77)</f>
        <v>-0.2196841136428308</v>
      </c>
      <c r="E78" s="81">
        <f ca="1">LN(E77/D77)</f>
        <v>-0.17248797287085804</v>
      </c>
      <c r="F78" s="81">
        <f t="shared" ref="F78:G78" ca="1" si="28">LN(F77/E77)</f>
        <v>-8.1334841460189655E-2</v>
      </c>
      <c r="G78" s="81">
        <f t="shared" ca="1" si="28"/>
        <v>-5.0631322023478725E-2</v>
      </c>
    </row>
    <row r="81" spans="4:4">
      <c r="D81" s="157"/>
    </row>
  </sheetData>
  <phoneticPr fontId="8" type="noConversion"/>
  <pageMargins left="0.75" right="0.75" top="1" bottom="1" header="0.4921259845" footer="0.4921259845"/>
  <pageSetup paperSize="9" scale="43" orientation="landscape" r:id="rId1"/>
  <headerFooter alignWithMargins="0"/>
  <rowBreaks count="1" manualBreakCount="1">
    <brk id="49" max="16383" man="1"/>
  </rowBreaks>
  <ignoredErrors>
    <ignoredError sqref="D24:E24 G24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theme="2" tint="-9.9978637043366805E-2"/>
    <pageSetUpPr fitToPage="1"/>
  </sheetPr>
  <dimension ref="B1:H37"/>
  <sheetViews>
    <sheetView zoomScaleNormal="100" workbookViewId="0">
      <pane xSplit="2" ySplit="4" topLeftCell="C23" activePane="bottomRight" state="frozen"/>
      <selection pane="topRight" activeCell="C1" sqref="C1"/>
      <selection pane="bottomLeft" activeCell="A4" sqref="A4"/>
      <selection pane="bottomRight" activeCell="C22" sqref="C22"/>
    </sheetView>
  </sheetViews>
  <sheetFormatPr defaultColWidth="11.44140625" defaultRowHeight="13.2"/>
  <cols>
    <col min="1" max="1" width="5.6640625" style="24" bestFit="1" customWidth="1"/>
    <col min="2" max="2" width="45.6640625" style="24" customWidth="1"/>
    <col min="3" max="6" width="14.44140625" style="24" bestFit="1" customWidth="1"/>
    <col min="7" max="8" width="15.33203125" style="24" bestFit="1" customWidth="1"/>
    <col min="9" max="16384" width="11.44140625" style="24"/>
  </cols>
  <sheetData>
    <row r="1" spans="2:8" s="143" customFormat="1">
      <c r="B1" s="173" t="s">
        <v>181</v>
      </c>
    </row>
    <row r="2" spans="2:8" ht="27" customHeight="1">
      <c r="B2" s="86" t="s">
        <v>57</v>
      </c>
      <c r="C2" s="173"/>
      <c r="D2" s="7"/>
      <c r="E2" s="7"/>
      <c r="F2" s="7"/>
      <c r="G2" s="7"/>
    </row>
    <row r="3" spans="2:8">
      <c r="B3" s="31"/>
      <c r="C3" s="32"/>
      <c r="D3" s="32"/>
      <c r="E3" s="32"/>
      <c r="F3" s="32"/>
      <c r="G3" s="32"/>
    </row>
    <row r="4" spans="2:8">
      <c r="B4" s="51" t="s">
        <v>55</v>
      </c>
      <c r="C4" s="52">
        <v>2020</v>
      </c>
      <c r="D4" s="52">
        <v>2021</v>
      </c>
      <c r="E4" s="52">
        <v>2022</v>
      </c>
      <c r="F4" s="52">
        <v>2023</v>
      </c>
      <c r="G4" s="52">
        <v>2024</v>
      </c>
    </row>
    <row r="5" spans="2:8">
      <c r="B5" s="201" t="s">
        <v>27</v>
      </c>
      <c r="C5" s="321">
        <f ca="1">RAND()*100000000</f>
        <v>71334672.562064365</v>
      </c>
      <c r="D5" s="321">
        <f t="shared" ref="D5:G6" ca="1" si="0">RAND()*100000000</f>
        <v>50450114.524203151</v>
      </c>
      <c r="E5" s="321">
        <f t="shared" ca="1" si="0"/>
        <v>47071371.971203521</v>
      </c>
      <c r="F5" s="321">
        <f t="shared" ca="1" si="0"/>
        <v>37256775.995858923</v>
      </c>
      <c r="G5" s="321">
        <f t="shared" ca="1" si="0"/>
        <v>57603542.201361932</v>
      </c>
    </row>
    <row r="6" spans="2:8">
      <c r="B6" s="201" t="s">
        <v>158</v>
      </c>
      <c r="C6" s="321">
        <f ca="1">RAND()*100000000</f>
        <v>52431905.218335442</v>
      </c>
      <c r="D6" s="321">
        <f t="shared" ca="1" si="0"/>
        <v>30863167.509881705</v>
      </c>
      <c r="E6" s="321">
        <f t="shared" ca="1" si="0"/>
        <v>4648153.8782723546</v>
      </c>
      <c r="F6" s="321">
        <f t="shared" ca="1" si="0"/>
        <v>79863640.299788684</v>
      </c>
      <c r="G6" s="321">
        <f t="shared" ca="1" si="0"/>
        <v>13781793.975172585</v>
      </c>
    </row>
    <row r="7" spans="2:8">
      <c r="B7" s="201" t="s">
        <v>28</v>
      </c>
      <c r="C7" s="321">
        <f ca="1">RAND()*10000000</f>
        <v>4051115.4984385679</v>
      </c>
      <c r="D7" s="321">
        <f t="shared" ref="D7:G7" ca="1" si="1">RAND()*10000000</f>
        <v>7885165.8449287852</v>
      </c>
      <c r="E7" s="321">
        <f t="shared" ca="1" si="1"/>
        <v>5399033.6167383483</v>
      </c>
      <c r="F7" s="321">
        <f t="shared" ca="1" si="1"/>
        <v>3720911.2586085624</v>
      </c>
      <c r="G7" s="321">
        <f t="shared" ca="1" si="1"/>
        <v>6051876.7416315349</v>
      </c>
    </row>
    <row r="8" spans="2:8">
      <c r="B8" s="202" t="s">
        <v>56</v>
      </c>
      <c r="C8" s="203">
        <f ca="1">SUM(C5:C7)</f>
        <v>127817693.27883837</v>
      </c>
      <c r="D8" s="203">
        <f t="shared" ref="D8:G8" ca="1" si="2">SUM(D5:D7)</f>
        <v>89198447.879013643</v>
      </c>
      <c r="E8" s="203">
        <f t="shared" ca="1" si="2"/>
        <v>57118559.466214225</v>
      </c>
      <c r="F8" s="203">
        <f t="shared" ca="1" si="2"/>
        <v>120841327.55425617</v>
      </c>
      <c r="G8" s="203">
        <f t="shared" ca="1" si="2"/>
        <v>77437212.918166056</v>
      </c>
    </row>
    <row r="9" spans="2:8">
      <c r="B9" s="184"/>
      <c r="C9" s="178"/>
      <c r="D9" s="178"/>
      <c r="E9" s="178"/>
      <c r="F9" s="178"/>
      <c r="G9" s="280"/>
    </row>
    <row r="10" spans="2:8">
      <c r="B10" s="51" t="s">
        <v>29</v>
      </c>
      <c r="C10" s="94"/>
      <c r="D10" s="95"/>
      <c r="E10" s="95"/>
      <c r="F10" s="95"/>
      <c r="G10" s="281"/>
    </row>
    <row r="11" spans="2:8">
      <c r="B11" s="50" t="s">
        <v>48</v>
      </c>
      <c r="C11" s="321">
        <f ca="1">RAND()*100000000</f>
        <v>21789988.314061936</v>
      </c>
      <c r="D11" s="321">
        <f t="shared" ref="D11:G11" ca="1" si="3">RAND()*100000000</f>
        <v>57081723.493064255</v>
      </c>
      <c r="E11" s="321">
        <f t="shared" ca="1" si="3"/>
        <v>41618121.096235216</v>
      </c>
      <c r="F11" s="321">
        <f t="shared" ca="1" si="3"/>
        <v>92293490.007388383</v>
      </c>
      <c r="G11" s="321">
        <f t="shared" ca="1" si="3"/>
        <v>84623888.411533847</v>
      </c>
      <c r="H11" s="174"/>
    </row>
    <row r="12" spans="2:8">
      <c r="B12" s="50" t="s">
        <v>49</v>
      </c>
      <c r="C12" s="321">
        <f ca="1">RAND()*1000000000</f>
        <v>535551976.19600892</v>
      </c>
      <c r="D12" s="321">
        <f t="shared" ref="D12:G12" ca="1" si="4">RAND()*1000000000</f>
        <v>945698146.37907004</v>
      </c>
      <c r="E12" s="321">
        <f t="shared" ca="1" si="4"/>
        <v>359285201.37289131</v>
      </c>
      <c r="F12" s="321">
        <f t="shared" ca="1" si="4"/>
        <v>763775124.35600471</v>
      </c>
      <c r="G12" s="321">
        <f t="shared" ca="1" si="4"/>
        <v>178387020.22974738</v>
      </c>
      <c r="H12" s="174"/>
    </row>
    <row r="13" spans="2:8">
      <c r="B13" s="50" t="s">
        <v>50</v>
      </c>
      <c r="C13" s="321">
        <f t="shared" ref="C13:G13" ca="1" si="5">RAND()*100000000</f>
        <v>58210407.408123434</v>
      </c>
      <c r="D13" s="321">
        <f t="shared" ca="1" si="5"/>
        <v>1902883.5273500078</v>
      </c>
      <c r="E13" s="321">
        <f t="shared" ca="1" si="5"/>
        <v>67074486.000075929</v>
      </c>
      <c r="F13" s="321">
        <f t="shared" ca="1" si="5"/>
        <v>96455476.312144205</v>
      </c>
      <c r="G13" s="321">
        <f t="shared" ca="1" si="5"/>
        <v>6407598.2682616161</v>
      </c>
      <c r="H13" s="174"/>
    </row>
    <row r="14" spans="2:8">
      <c r="B14" s="25" t="s">
        <v>72</v>
      </c>
      <c r="C14" s="321">
        <f ca="1">RAND()*10000000</f>
        <v>8018580.3897035513</v>
      </c>
      <c r="D14" s="321">
        <f t="shared" ref="D14:G14" ca="1" si="6">RAND()*10000000</f>
        <v>6094829.9031103812</v>
      </c>
      <c r="E14" s="321">
        <f t="shared" ca="1" si="6"/>
        <v>3931720.9251168752</v>
      </c>
      <c r="F14" s="321">
        <f t="shared" ca="1" si="6"/>
        <v>9631826.1672553532</v>
      </c>
      <c r="G14" s="321">
        <f t="shared" ca="1" si="6"/>
        <v>4484516.2090175841</v>
      </c>
      <c r="H14" s="174"/>
    </row>
    <row r="15" spans="2:8">
      <c r="B15" s="38" t="s">
        <v>30</v>
      </c>
      <c r="C15" s="282">
        <f ca="1">SUM(C11:C14)</f>
        <v>623570952.30789781</v>
      </c>
      <c r="D15" s="290">
        <f ca="1">SUM(D11:D14)</f>
        <v>1010777583.3025947</v>
      </c>
      <c r="E15" s="290">
        <f t="shared" ref="E15:F15" ca="1" si="7">SUM(E11:E14)</f>
        <v>471909529.39431936</v>
      </c>
      <c r="F15" s="198">
        <f t="shared" ca="1" si="7"/>
        <v>962155916.84279263</v>
      </c>
      <c r="G15" s="282">
        <f ca="1">SUM(G11:G14)</f>
        <v>273903023.11856043</v>
      </c>
      <c r="H15" s="174"/>
    </row>
    <row r="16" spans="2:8">
      <c r="B16" s="6"/>
      <c r="C16" s="93"/>
      <c r="D16" s="93"/>
      <c r="E16" s="93"/>
      <c r="F16" s="93"/>
      <c r="G16" s="280"/>
      <c r="H16" s="174"/>
    </row>
    <row r="17" spans="2:7">
      <c r="B17" s="51" t="s">
        <v>162</v>
      </c>
      <c r="C17" s="94"/>
      <c r="D17" s="95"/>
      <c r="E17" s="95"/>
      <c r="F17" s="95"/>
      <c r="G17" s="281"/>
    </row>
    <row r="18" spans="2:7">
      <c r="B18" s="200" t="s">
        <v>51</v>
      </c>
      <c r="C18" s="321">
        <f t="shared" ref="C18:G18" ca="1" si="8">RAND()*1000000000</f>
        <v>245672998.20550248</v>
      </c>
      <c r="D18" s="321">
        <f t="shared" ca="1" si="8"/>
        <v>976817409.8152504</v>
      </c>
      <c r="E18" s="321">
        <f t="shared" ca="1" si="8"/>
        <v>863920249.80772853</v>
      </c>
      <c r="F18" s="321">
        <f t="shared" ca="1" si="8"/>
        <v>22700407.126785669</v>
      </c>
      <c r="G18" s="321">
        <f t="shared" ca="1" si="8"/>
        <v>910943472.66272116</v>
      </c>
    </row>
    <row r="19" spans="2:7">
      <c r="B19" s="200" t="s">
        <v>52</v>
      </c>
      <c r="C19" s="321">
        <f t="shared" ref="C19:G21" ca="1" si="9">RAND()*100000000</f>
        <v>49317000.342544749</v>
      </c>
      <c r="D19" s="321">
        <f t="shared" ca="1" si="9"/>
        <v>41405715.969233401</v>
      </c>
      <c r="E19" s="321">
        <f t="shared" ca="1" si="9"/>
        <v>9203036.3111625165</v>
      </c>
      <c r="F19" s="321">
        <f t="shared" ca="1" si="9"/>
        <v>52963089.86668016</v>
      </c>
      <c r="G19" s="321">
        <f t="shared" ca="1" si="9"/>
        <v>1543623.866969801</v>
      </c>
    </row>
    <row r="20" spans="2:7">
      <c r="B20" s="200" t="s">
        <v>53</v>
      </c>
      <c r="C20" s="321">
        <f t="shared" ca="1" si="9"/>
        <v>41276491.121125802</v>
      </c>
      <c r="D20" s="321">
        <f t="shared" ca="1" si="9"/>
        <v>49688822.285676368</v>
      </c>
      <c r="E20" s="321">
        <f t="shared" ca="1" si="9"/>
        <v>572002.71216231165</v>
      </c>
      <c r="F20" s="321">
        <f t="shared" ca="1" si="9"/>
        <v>43596652.444818154</v>
      </c>
      <c r="G20" s="321">
        <f t="shared" ca="1" si="9"/>
        <v>80618337.333969295</v>
      </c>
    </row>
    <row r="21" spans="2:7">
      <c r="B21" s="201" t="s">
        <v>54</v>
      </c>
      <c r="C21" s="321">
        <f t="shared" ca="1" si="9"/>
        <v>87393288.329356954</v>
      </c>
      <c r="D21" s="321">
        <f t="shared" ca="1" si="9"/>
        <v>71579917.573603198</v>
      </c>
      <c r="E21" s="321">
        <f t="shared" ca="1" si="9"/>
        <v>54666254.395875677</v>
      </c>
      <c r="F21" s="321">
        <f t="shared" ca="1" si="9"/>
        <v>10879600.89577904</v>
      </c>
      <c r="G21" s="321">
        <f t="shared" ca="1" si="9"/>
        <v>77473649.495431378</v>
      </c>
    </row>
    <row r="22" spans="2:7">
      <c r="B22" s="46" t="s">
        <v>174</v>
      </c>
      <c r="C22" s="282">
        <f ca="1">SUM(C18:C21)</f>
        <v>423659777.99853003</v>
      </c>
      <c r="D22" s="282">
        <f ca="1">SUM(D18:D21)</f>
        <v>1139491865.6437633</v>
      </c>
      <c r="E22" s="282">
        <f ca="1">SUM(E18:E21)</f>
        <v>928361543.22692895</v>
      </c>
      <c r="F22" s="282">
        <f ca="1">SUM(F18:F21)</f>
        <v>130139750.33406302</v>
      </c>
      <c r="G22" s="282">
        <f ca="1">SUM(G18:G21)</f>
        <v>1070579083.3590918</v>
      </c>
    </row>
    <row r="23" spans="2:7">
      <c r="B23" s="11"/>
      <c r="C23" s="96"/>
      <c r="D23" s="96"/>
      <c r="E23" s="96"/>
      <c r="F23" s="96"/>
      <c r="G23" s="283"/>
    </row>
    <row r="24" spans="2:7">
      <c r="B24" s="219" t="s">
        <v>57</v>
      </c>
      <c r="C24" s="220"/>
      <c r="D24" s="93"/>
      <c r="E24" s="93"/>
      <c r="F24" s="93"/>
      <c r="G24" s="280"/>
    </row>
    <row r="25" spans="2:7" s="144" customFormat="1">
      <c r="B25" s="164" t="s">
        <v>57</v>
      </c>
      <c r="C25" s="203">
        <f t="shared" ref="C25:F25" ca="1" si="10">C8+C15-C18-C21</f>
        <v>418322359.05187672</v>
      </c>
      <c r="D25" s="203">
        <f t="shared" ca="1" si="10"/>
        <v>51578703.792754605</v>
      </c>
      <c r="E25" s="203">
        <f t="shared" ca="1" si="10"/>
        <v>-389558415.34307063</v>
      </c>
      <c r="F25" s="203">
        <f t="shared" ca="1" si="10"/>
        <v>1049417236.3744841</v>
      </c>
      <c r="G25" s="203">
        <f ca="1">G8+G15-G18-G21</f>
        <v>-637076886.12142611</v>
      </c>
    </row>
    <row r="26" spans="2:7" s="144" customFormat="1">
      <c r="B26" s="24"/>
      <c r="C26" s="24"/>
      <c r="D26" s="24"/>
      <c r="E26" s="24"/>
      <c r="F26" s="24"/>
      <c r="G26" s="178"/>
    </row>
    <row r="27" spans="2:7">
      <c r="B27" s="74" t="s">
        <v>101</v>
      </c>
      <c r="G27" s="178"/>
    </row>
    <row r="28" spans="2:7">
      <c r="B28" s="150" t="s">
        <v>102</v>
      </c>
      <c r="C28" s="151">
        <f>'Indicii prețurilor'!C46</f>
        <v>1</v>
      </c>
      <c r="D28" s="151">
        <f>'Indicii prețurilor'!D46</f>
        <v>1.0564</v>
      </c>
      <c r="E28" s="151">
        <f>'Indicii prețurilor'!E46</f>
        <v>1.2097892799999999</v>
      </c>
      <c r="F28" s="151">
        <f>'Indicii prețurilor'!F46</f>
        <v>1.4637240498719999</v>
      </c>
      <c r="G28" s="284">
        <f>'Indicii prețurilor'!G46</f>
        <v>1.8542456263778495</v>
      </c>
    </row>
    <row r="29" spans="2:7">
      <c r="G29" s="178"/>
    </row>
    <row r="30" spans="2:7">
      <c r="B30" s="74" t="s">
        <v>125</v>
      </c>
      <c r="G30" s="178"/>
    </row>
    <row r="31" spans="2:7">
      <c r="B31" s="150" t="s">
        <v>126</v>
      </c>
      <c r="C31" s="206">
        <v>1</v>
      </c>
      <c r="D31" s="151">
        <f ca="1">SUMPRODUCT(C8,D28)/SUMPRODUCT(C8,C28)</f>
        <v>1.0564</v>
      </c>
      <c r="E31" s="151">
        <f t="shared" ref="E31:F31" ca="1" si="11">SUMPRODUCT(D8,E28)/SUMPRODUCT(D8,D28)</f>
        <v>1.1452</v>
      </c>
      <c r="F31" s="151">
        <f t="shared" ca="1" si="11"/>
        <v>1.2099</v>
      </c>
      <c r="G31" s="284">
        <f ca="1">SUMPRODUCT(F8,G28)/SUMPRODUCT(F8,F28)</f>
        <v>1.2667999999999999</v>
      </c>
    </row>
    <row r="32" spans="2:7">
      <c r="B32" s="150" t="s">
        <v>127</v>
      </c>
      <c r="C32" s="206">
        <v>1</v>
      </c>
      <c r="D32" s="206">
        <f ca="1">SUMPRODUCT(D8,D28)/SUMPRODUCT(D8,C28)</f>
        <v>1.0564</v>
      </c>
      <c r="E32" s="206">
        <f t="shared" ref="E32:G32" ca="1" si="12">SUMPRODUCT(E8,E28)/SUMPRODUCT(E8,D28)</f>
        <v>1.1451999999999998</v>
      </c>
      <c r="F32" s="206">
        <f t="shared" ca="1" si="12"/>
        <v>1.2099</v>
      </c>
      <c r="G32" s="285">
        <f t="shared" ca="1" si="12"/>
        <v>1.2667999999999999</v>
      </c>
    </row>
    <row r="33" spans="2:7">
      <c r="B33" s="150" t="s">
        <v>117</v>
      </c>
      <c r="C33" s="206">
        <v>1</v>
      </c>
      <c r="D33" s="206">
        <f ca="1">(D31*D32)^0.5</f>
        <v>1.0564</v>
      </c>
      <c r="E33" s="206">
        <f t="shared" ref="E33:G33" ca="1" si="13">(E31*E32)^0.5</f>
        <v>1.1451999999999998</v>
      </c>
      <c r="F33" s="206">
        <f t="shared" ca="1" si="13"/>
        <v>1.2099</v>
      </c>
      <c r="G33" s="285">
        <f t="shared" ca="1" si="13"/>
        <v>1.2667999999999999</v>
      </c>
    </row>
    <row r="34" spans="2:7">
      <c r="B34" s="150" t="s">
        <v>128</v>
      </c>
      <c r="C34" s="206">
        <v>1</v>
      </c>
      <c r="D34" s="206">
        <f ca="1">C34*D33</f>
        <v>1.0564</v>
      </c>
      <c r="E34" s="206">
        <f t="shared" ref="E34:F34" ca="1" si="14">D34*E33</f>
        <v>1.2097892799999999</v>
      </c>
      <c r="F34" s="206">
        <f t="shared" ca="1" si="14"/>
        <v>1.4637240498719999</v>
      </c>
      <c r="G34" s="285">
        <f ca="1">F34*G33</f>
        <v>1.8542456263778493</v>
      </c>
    </row>
    <row r="35" spans="2:7">
      <c r="B35" s="149"/>
      <c r="G35" s="178"/>
    </row>
    <row r="36" spans="2:7">
      <c r="B36" s="164" t="s">
        <v>105</v>
      </c>
      <c r="C36" s="205">
        <f ca="1">C8/C34</f>
        <v>127817693.27883837</v>
      </c>
      <c r="D36" s="205">
        <f ca="1">D8/D34</f>
        <v>84436243.732500613</v>
      </c>
      <c r="E36" s="205">
        <f ca="1">E8/E34</f>
        <v>47213643.243899658</v>
      </c>
      <c r="F36" s="205">
        <f ca="1">F8/F34</f>
        <v>82557451.70329307</v>
      </c>
      <c r="G36" s="286">
        <f ca="1">G8/G34</f>
        <v>41762111.673109196</v>
      </c>
    </row>
    <row r="37" spans="2:7">
      <c r="B37" s="46" t="s">
        <v>104</v>
      </c>
      <c r="C37" s="204">
        <f ca="1">C36/$C$36</f>
        <v>1</v>
      </c>
      <c r="D37" s="204">
        <f t="shared" ref="D37:G37" ca="1" si="15">D36/$C$36</f>
        <v>0.66059902636718892</v>
      </c>
      <c r="E37" s="204">
        <f t="shared" ca="1" si="15"/>
        <v>0.3693826889904952</v>
      </c>
      <c r="F37" s="204">
        <f t="shared" ca="1" si="15"/>
        <v>0.64590002827849002</v>
      </c>
      <c r="G37" s="287">
        <f t="shared" ca="1" si="15"/>
        <v>0.32673185223272511</v>
      </c>
    </row>
  </sheetData>
  <phoneticPr fontId="8" type="noConversion"/>
  <pageMargins left="0.75" right="0.75" top="1" bottom="1" header="0.4921259845" footer="0.4921259845"/>
  <pageSetup paperSize="9" fitToWidth="2" fitToHeight="2" orientation="landscape" r:id="rId1"/>
  <headerFooter alignWithMargins="0"/>
  <ignoredErrors>
    <ignoredError sqref="C8:G8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theme="2" tint="-9.9978637043366805E-2"/>
    <pageSetUpPr fitToPage="1"/>
  </sheetPr>
  <dimension ref="B1:H21"/>
  <sheetViews>
    <sheetView zoomScaleNormal="100" workbookViewId="0">
      <pane xSplit="2" ySplit="4" topLeftCell="C5" activePane="bottomRight" state="frozen"/>
      <selection pane="topRight" activeCell="C1" sqref="C1"/>
      <selection pane="bottomLeft" activeCell="A4" sqref="A4"/>
      <selection pane="bottomRight" activeCell="J15" sqref="J15"/>
    </sheetView>
  </sheetViews>
  <sheetFormatPr defaultColWidth="11.44140625" defaultRowHeight="13.2"/>
  <cols>
    <col min="1" max="1" width="3.6640625" style="24" customWidth="1"/>
    <col min="2" max="2" width="45.6640625" style="24" customWidth="1"/>
    <col min="3" max="5" width="13" style="24" bestFit="1" customWidth="1"/>
    <col min="6" max="6" width="13.6640625" style="24" bestFit="1" customWidth="1"/>
    <col min="7" max="7" width="15.6640625" style="24" bestFit="1" customWidth="1"/>
    <col min="8" max="16384" width="11.44140625" style="24"/>
  </cols>
  <sheetData>
    <row r="1" spans="2:7" s="143" customFormat="1">
      <c r="B1" s="173" t="s">
        <v>181</v>
      </c>
    </row>
    <row r="2" spans="2:7" ht="27" customHeight="1">
      <c r="B2" s="86" t="s">
        <v>6</v>
      </c>
      <c r="C2" s="7"/>
      <c r="D2" s="7"/>
      <c r="E2" s="7"/>
      <c r="F2" s="7"/>
      <c r="G2" s="7"/>
    </row>
    <row r="3" spans="2:7">
      <c r="B3" s="31"/>
      <c r="C3" s="57"/>
      <c r="D3" s="32"/>
      <c r="E3" s="32"/>
      <c r="F3" s="57"/>
      <c r="G3" s="32"/>
    </row>
    <row r="4" spans="2:7">
      <c r="B4" s="51" t="s">
        <v>130</v>
      </c>
      <c r="C4" s="80">
        <v>2020</v>
      </c>
      <c r="D4" s="80">
        <v>2021</v>
      </c>
      <c r="E4" s="80">
        <v>2022</v>
      </c>
      <c r="F4" s="80">
        <v>2023</v>
      </c>
      <c r="G4" s="80">
        <v>2024</v>
      </c>
    </row>
    <row r="5" spans="2:7">
      <c r="B5" s="49" t="s">
        <v>59</v>
      </c>
      <c r="C5" s="152">
        <f ca="1">Outputuri!C17</f>
        <v>644013841.94754541</v>
      </c>
      <c r="D5" s="152">
        <f ca="1">Outputuri!D17</f>
        <v>359247029.70454949</v>
      </c>
      <c r="E5" s="152">
        <f ca="1">Outputuri!E17</f>
        <v>579086489.45306277</v>
      </c>
      <c r="F5" s="152">
        <f ca="1">Outputuri!F17</f>
        <v>532311694.74624479</v>
      </c>
      <c r="G5" s="152">
        <f ca="1">Outputuri!G17</f>
        <v>420771177.31464863</v>
      </c>
    </row>
    <row r="6" spans="2:7">
      <c r="B6" s="49" t="s">
        <v>60</v>
      </c>
      <c r="C6" s="153">
        <f ca="1">Muncă!C6</f>
        <v>36931403.997397691</v>
      </c>
      <c r="D6" s="153">
        <f ca="1">Muncă!D6</f>
        <v>304763455.60699648</v>
      </c>
      <c r="E6" s="153">
        <f ca="1">Muncă!E6</f>
        <v>931016401.36026609</v>
      </c>
      <c r="F6" s="153">
        <f ca="1">Muncă!F6</f>
        <v>660944157.0262959</v>
      </c>
      <c r="G6" s="153">
        <f ca="1">Muncă!G6</f>
        <v>974215803.78061903</v>
      </c>
    </row>
    <row r="7" spans="2:7">
      <c r="B7" s="49" t="s">
        <v>61</v>
      </c>
      <c r="C7" s="153">
        <f ca="1">Materiale!C24</f>
        <v>911258854.97441125</v>
      </c>
      <c r="D7" s="153">
        <f ca="1">Materiale!D24</f>
        <v>847276529.44395483</v>
      </c>
      <c r="E7" s="153">
        <f ca="1">Materiale!E24</f>
        <v>781400662.42980051</v>
      </c>
      <c r="F7" s="153">
        <f ca="1">Materiale!F24</f>
        <v>739164779.76691628</v>
      </c>
      <c r="G7" s="153">
        <f ca="1">Materiale!G24</f>
        <v>748633338.11200476</v>
      </c>
    </row>
    <row r="8" spans="2:7">
      <c r="B8" s="49" t="s">
        <v>25</v>
      </c>
      <c r="C8" s="153">
        <f ca="1">Materiale!C5</f>
        <v>218368.40601791695</v>
      </c>
      <c r="D8" s="153">
        <f ca="1">Materiale!D5</f>
        <v>5590163.2795762876</v>
      </c>
      <c r="E8" s="153">
        <f ca="1">Materiale!E5</f>
        <v>4200073.7078775465</v>
      </c>
      <c r="F8" s="153">
        <f ca="1">Materiale!F5</f>
        <v>9335851.8707588818</v>
      </c>
      <c r="G8" s="153">
        <f ca="1">Materiale!G5</f>
        <v>630112.14323511976</v>
      </c>
    </row>
    <row r="9" spans="2:7">
      <c r="B9" s="3" t="s">
        <v>4</v>
      </c>
      <c r="C9" s="153">
        <f t="shared" ref="C9:G9" ca="1" si="0">C6+C7+C8</f>
        <v>948408627.37782681</v>
      </c>
      <c r="D9" s="153">
        <f t="shared" ca="1" si="0"/>
        <v>1157630148.3305275</v>
      </c>
      <c r="E9" s="153">
        <f t="shared" ca="1" si="0"/>
        <v>1716617137.4979444</v>
      </c>
      <c r="F9" s="153">
        <f t="shared" ca="1" si="0"/>
        <v>1409444788.6639709</v>
      </c>
      <c r="G9" s="153">
        <f t="shared" ca="1" si="0"/>
        <v>1723479254.0358591</v>
      </c>
    </row>
    <row r="10" spans="2:7">
      <c r="B10" s="3" t="s">
        <v>1</v>
      </c>
      <c r="C10" s="153">
        <f t="shared" ref="C10:F10" ca="1" si="1">C5-C6-C7</f>
        <v>-304176417.0242635</v>
      </c>
      <c r="D10" s="153">
        <f t="shared" ca="1" si="1"/>
        <v>-792792955.34640181</v>
      </c>
      <c r="E10" s="153">
        <f t="shared" ca="1" si="1"/>
        <v>-1133330574.3370037</v>
      </c>
      <c r="F10" s="153">
        <f t="shared" ca="1" si="1"/>
        <v>-867797242.04696739</v>
      </c>
      <c r="G10" s="153">
        <f ca="1">G5-G6-G7</f>
        <v>-1302077964.5779753</v>
      </c>
    </row>
    <row r="11" spans="2:7">
      <c r="B11" s="3" t="s">
        <v>2</v>
      </c>
      <c r="C11" s="153">
        <f ca="1">C10-C8</f>
        <v>-304394785.4302814</v>
      </c>
      <c r="D11" s="153">
        <f t="shared" ref="D11:G11" ca="1" si="2">D10-D8</f>
        <v>-798383118.62597811</v>
      </c>
      <c r="E11" s="153">
        <f t="shared" ca="1" si="2"/>
        <v>-1137530648.0448813</v>
      </c>
      <c r="F11" s="153">
        <f t="shared" ca="1" si="2"/>
        <v>-877133093.91772628</v>
      </c>
      <c r="G11" s="153">
        <f t="shared" ca="1" si="2"/>
        <v>-1302708076.7212105</v>
      </c>
    </row>
    <row r="12" spans="2:7">
      <c r="B12" s="83" t="s">
        <v>57</v>
      </c>
      <c r="C12" s="154">
        <f ca="1">'Capital angajat'!C25</f>
        <v>418322359.05187672</v>
      </c>
      <c r="D12" s="154">
        <f ca="1">'Capital angajat'!D25</f>
        <v>51578703.792754605</v>
      </c>
      <c r="E12" s="154">
        <f ca="1">'Capital angajat'!E25</f>
        <v>-389558415.34307063</v>
      </c>
      <c r="F12" s="154">
        <f ca="1">'Capital angajat'!F25</f>
        <v>1049417236.3744841</v>
      </c>
      <c r="G12" s="154">
        <f ca="1">'Capital angajat'!G25</f>
        <v>-637076886.12142611</v>
      </c>
    </row>
    <row r="13" spans="2:7">
      <c r="B13" s="145" t="s">
        <v>62</v>
      </c>
      <c r="C13" s="81">
        <f ca="1">C10/C12</f>
        <v>-0.72713401624927765</v>
      </c>
      <c r="D13" s="81">
        <f ca="1">D10/D12</f>
        <v>-15.370548250531405</v>
      </c>
      <c r="E13" s="81">
        <f ca="1">E10/E12</f>
        <v>2.9092699058725726</v>
      </c>
      <c r="F13" s="81">
        <f ca="1">F10/F12</f>
        <v>-0.82693252213487978</v>
      </c>
      <c r="G13" s="81">
        <f ca="1">G10/G12</f>
        <v>2.0438317461258526</v>
      </c>
    </row>
    <row r="14" spans="2:7">
      <c r="B14" s="26"/>
      <c r="C14" s="6"/>
      <c r="D14" s="6"/>
      <c r="E14" s="6"/>
      <c r="F14" s="6"/>
      <c r="G14" s="184"/>
    </row>
    <row r="15" spans="2:7">
      <c r="B15" s="22" t="s">
        <v>129</v>
      </c>
      <c r="C15" s="59"/>
      <c r="D15" s="59"/>
      <c r="E15" s="59"/>
      <c r="F15" s="59"/>
      <c r="G15" s="288"/>
    </row>
    <row r="16" spans="2:7">
      <c r="B16" s="150" t="s">
        <v>1</v>
      </c>
      <c r="C16" s="199">
        <f t="shared" ref="C16:F16" ca="1" si="3">C10</f>
        <v>-304176417.0242635</v>
      </c>
      <c r="D16" s="199">
        <f t="shared" ca="1" si="3"/>
        <v>-792792955.34640181</v>
      </c>
      <c r="E16" s="199">
        <f t="shared" ca="1" si="3"/>
        <v>-1133330574.3370037</v>
      </c>
      <c r="F16" s="199">
        <f t="shared" ca="1" si="3"/>
        <v>-867797242.04696739</v>
      </c>
      <c r="G16" s="199">
        <f ca="1">G10</f>
        <v>-1302077964.5779753</v>
      </c>
    </row>
    <row r="17" spans="2:8">
      <c r="B17" s="150" t="s">
        <v>2</v>
      </c>
      <c r="C17" s="207">
        <f t="shared" ref="C17:G17" ca="1" si="4">C16-C8</f>
        <v>-304394785.4302814</v>
      </c>
      <c r="D17" s="207">
        <f t="shared" ca="1" si="4"/>
        <v>-798383118.62597811</v>
      </c>
      <c r="E17" s="207">
        <f t="shared" ca="1" si="4"/>
        <v>-1137530648.0448813</v>
      </c>
      <c r="F17" s="207">
        <f t="shared" ca="1" si="4"/>
        <v>-877133093.91772628</v>
      </c>
      <c r="G17" s="207">
        <f t="shared" ca="1" si="4"/>
        <v>-1302708076.7212105</v>
      </c>
    </row>
    <row r="18" spans="2:8">
      <c r="B18" s="150" t="s">
        <v>87</v>
      </c>
      <c r="C18" s="208">
        <v>8.4400000000000003E-2</v>
      </c>
      <c r="D18" s="208">
        <v>8.4400000000000003E-2</v>
      </c>
      <c r="E18" s="208">
        <v>8.4400000000000003E-2</v>
      </c>
      <c r="F18" s="208">
        <v>8.4400000000000003E-2</v>
      </c>
      <c r="G18" s="81">
        <v>8.4400000000000003E-2</v>
      </c>
      <c r="H18" s="178"/>
    </row>
    <row r="19" spans="2:8">
      <c r="B19" s="150" t="s">
        <v>63</v>
      </c>
      <c r="C19" s="199">
        <f ca="1">C12*C18</f>
        <v>35306407.103978395</v>
      </c>
      <c r="D19" s="199">
        <f t="shared" ref="D19:F19" ca="1" si="5">D12*D18</f>
        <v>4353242.6001084885</v>
      </c>
      <c r="E19" s="199">
        <f t="shared" ca="1" si="5"/>
        <v>-32878730.254955161</v>
      </c>
      <c r="F19" s="199">
        <f t="shared" ca="1" si="5"/>
        <v>88570814.750006452</v>
      </c>
      <c r="G19" s="199">
        <f ca="1">G12*G18</f>
        <v>-53769289.188648365</v>
      </c>
    </row>
    <row r="20" spans="2:8" s="144" customFormat="1">
      <c r="B20" s="164" t="s">
        <v>64</v>
      </c>
      <c r="C20" s="199">
        <f ca="1">C17-C19</f>
        <v>-339701192.5342598</v>
      </c>
      <c r="D20" s="199">
        <f t="shared" ref="D20:G20" ca="1" si="6">D17-D19</f>
        <v>-802736361.22608662</v>
      </c>
      <c r="E20" s="199">
        <f t="shared" ca="1" si="6"/>
        <v>-1104651917.7899263</v>
      </c>
      <c r="F20" s="199">
        <f t="shared" ca="1" si="6"/>
        <v>-965703908.66773272</v>
      </c>
      <c r="G20" s="199">
        <f t="shared" ca="1" si="6"/>
        <v>-1248938787.532562</v>
      </c>
    </row>
    <row r="21" spans="2:8">
      <c r="B21" s="209" t="s">
        <v>159</v>
      </c>
      <c r="C21" s="210">
        <f>C18/$C$18</f>
        <v>1</v>
      </c>
      <c r="D21" s="210">
        <f t="shared" ref="D21:G21" si="7">D18/$C$18</f>
        <v>1</v>
      </c>
      <c r="E21" s="210">
        <f t="shared" si="7"/>
        <v>1</v>
      </c>
      <c r="F21" s="210">
        <f t="shared" si="7"/>
        <v>1</v>
      </c>
      <c r="G21" s="289">
        <f t="shared" si="7"/>
        <v>1</v>
      </c>
    </row>
  </sheetData>
  <phoneticPr fontId="8" type="noConversion"/>
  <pageMargins left="0.75" right="0.75" top="1" bottom="1" header="0.4921259845" footer="0.4921259845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tabColor rgb="FFFF0000"/>
    <pageSetUpPr fitToPage="1"/>
  </sheetPr>
  <dimension ref="A1:G71"/>
  <sheetViews>
    <sheetView tabSelected="1" zoomScaleNormal="100" workbookViewId="0">
      <pane xSplit="2" ySplit="4" topLeftCell="C5" activePane="bottomRight" state="frozen"/>
      <selection pane="topRight" activeCell="C1" sqref="C1"/>
      <selection pane="bottomLeft" activeCell="A4" sqref="A4"/>
      <selection pane="bottomRight" activeCell="M18" sqref="M18"/>
    </sheetView>
  </sheetViews>
  <sheetFormatPr defaultColWidth="11.44140625" defaultRowHeight="13.2"/>
  <cols>
    <col min="1" max="1" width="5.5546875" style="24" customWidth="1"/>
    <col min="2" max="2" width="56.21875" style="24" customWidth="1"/>
    <col min="3" max="3" width="18.5546875" style="24" customWidth="1"/>
    <col min="4" max="4" width="17.88671875" style="24" customWidth="1"/>
    <col min="5" max="5" width="13.44140625" style="24" bestFit="1" customWidth="1"/>
    <col min="6" max="6" width="13.5546875" style="24" bestFit="1" customWidth="1"/>
    <col min="7" max="7" width="15.6640625" style="169" bestFit="1" customWidth="1"/>
    <col min="8" max="16384" width="11.44140625" style="24"/>
  </cols>
  <sheetData>
    <row r="1" spans="2:7" s="143" customFormat="1">
      <c r="B1" s="173" t="s">
        <v>181</v>
      </c>
    </row>
    <row r="2" spans="2:7" ht="27" customHeight="1">
      <c r="B2" s="86" t="s">
        <v>7</v>
      </c>
      <c r="C2" s="7"/>
      <c r="D2" s="7"/>
      <c r="E2" s="7"/>
      <c r="F2" s="7"/>
      <c r="G2" s="7"/>
    </row>
    <row r="3" spans="2:7">
      <c r="B3" s="60"/>
      <c r="C3" s="32"/>
      <c r="D3" s="32"/>
      <c r="E3" s="32"/>
      <c r="F3" s="32"/>
      <c r="G3" s="32"/>
    </row>
    <row r="4" spans="2:7">
      <c r="B4" s="51" t="s">
        <v>89</v>
      </c>
      <c r="C4" s="23">
        <v>2020</v>
      </c>
      <c r="D4" s="23">
        <v>2021</v>
      </c>
      <c r="E4" s="23">
        <v>2022</v>
      </c>
      <c r="F4" s="23">
        <v>2023</v>
      </c>
      <c r="G4" s="293">
        <v>2024</v>
      </c>
    </row>
    <row r="5" spans="2:7">
      <c r="B5" s="49" t="s">
        <v>60</v>
      </c>
      <c r="C5" s="103">
        <f ca="1">'Costul Capitalului'!C6</f>
        <v>36931403.997397691</v>
      </c>
      <c r="D5" s="104">
        <f ca="1">'Costul Capitalului'!D6</f>
        <v>304763455.60699648</v>
      </c>
      <c r="E5" s="103">
        <f ca="1">'Costul Capitalului'!E6</f>
        <v>931016401.36026609</v>
      </c>
      <c r="F5" s="104">
        <f ca="1">'Costul Capitalului'!F6</f>
        <v>660944157.0262959</v>
      </c>
      <c r="G5" s="294">
        <f ca="1">'Costul Capitalului'!G6</f>
        <v>974215803.78061903</v>
      </c>
    </row>
    <row r="6" spans="2:7">
      <c r="B6" s="20" t="s">
        <v>23</v>
      </c>
      <c r="C6" s="105">
        <f ca="1">'Costul Capitalului'!C7</f>
        <v>911258854.97441125</v>
      </c>
      <c r="D6" s="106">
        <f ca="1">'Costul Capitalului'!D7</f>
        <v>847276529.44395483</v>
      </c>
      <c r="E6" s="105">
        <f ca="1">'Costul Capitalului'!E7</f>
        <v>781400662.42980051</v>
      </c>
      <c r="F6" s="106">
        <f ca="1">'Costul Capitalului'!F7</f>
        <v>739164779.76691628</v>
      </c>
      <c r="G6" s="295">
        <f ca="1">'Costul Capitalului'!G7</f>
        <v>748633338.11200476</v>
      </c>
    </row>
    <row r="7" spans="2:7">
      <c r="B7" s="146" t="s">
        <v>161</v>
      </c>
      <c r="C7" s="105">
        <f ca="1">'Costul Capitalului'!C8+'Costul Capitalului'!C19</f>
        <v>35524775.50999631</v>
      </c>
      <c r="D7" s="105">
        <f ca="1">'Costul Capitalului'!D8+'Costul Capitalului'!D19</f>
        <v>9943405.8796847761</v>
      </c>
      <c r="E7" s="105">
        <f ca="1">'Costul Capitalului'!E8+'Costul Capitalului'!E19</f>
        <v>-28678656.547077615</v>
      </c>
      <c r="F7" s="105">
        <f ca="1">'Costul Capitalului'!F8+'Costul Capitalului'!F19</f>
        <v>97906666.620765328</v>
      </c>
      <c r="G7" s="295">
        <f ca="1">'Costul Capitalului'!G8+'Costul Capitalului'!G19</f>
        <v>-53139177.045413248</v>
      </c>
    </row>
    <row r="8" spans="2:7">
      <c r="B8" s="177" t="s">
        <v>71</v>
      </c>
      <c r="C8" s="105">
        <f t="shared" ref="C8:G8" ca="1" si="0">SUM(C5:C7)</f>
        <v>983715034.48180521</v>
      </c>
      <c r="D8" s="106">
        <f t="shared" ca="1" si="0"/>
        <v>1161983390.9306359</v>
      </c>
      <c r="E8" s="105">
        <f ca="1">SUM(E5:E7)</f>
        <v>1683738407.2429891</v>
      </c>
      <c r="F8" s="106">
        <f t="shared" ca="1" si="0"/>
        <v>1498015603.4139776</v>
      </c>
      <c r="G8" s="295">
        <f t="shared" ca="1" si="0"/>
        <v>1669709964.8472106</v>
      </c>
    </row>
    <row r="9" spans="2:7">
      <c r="B9" s="37" t="s">
        <v>131</v>
      </c>
      <c r="C9" s="107">
        <f ca="1">'Costul Capitalului'!C5-C8</f>
        <v>-339701192.5342598</v>
      </c>
      <c r="D9" s="108">
        <f ca="1">'Costul Capitalului'!D5-D8</f>
        <v>-802736361.22608638</v>
      </c>
      <c r="E9" s="107">
        <f ca="1">'Costul Capitalului'!E5-E8</f>
        <v>-1104651917.7899263</v>
      </c>
      <c r="F9" s="108">
        <f ca="1">'Costul Capitalului'!F5-F8</f>
        <v>-965703908.66773283</v>
      </c>
      <c r="G9" s="295">
        <f ca="1">'Costul Capitalului'!G5-G8</f>
        <v>-1248938787.532562</v>
      </c>
    </row>
    <row r="10" spans="2:7">
      <c r="B10" s="61"/>
      <c r="C10" s="109">
        <f ca="1">C9-'Costul Capitalului'!C20</f>
        <v>0</v>
      </c>
      <c r="D10" s="109">
        <f ca="1">D9-'Costul Capitalului'!D20</f>
        <v>0</v>
      </c>
      <c r="E10" s="109">
        <f ca="1">E9-'Costul Capitalului'!E20</f>
        <v>0</v>
      </c>
      <c r="F10" s="109">
        <f ca="1">F9-'Costul Capitalului'!F20</f>
        <v>0</v>
      </c>
      <c r="G10" s="296">
        <f ca="1">G9-'Costul Capitalului'!G20</f>
        <v>0</v>
      </c>
    </row>
    <row r="11" spans="2:7">
      <c r="B11" s="20" t="s">
        <v>90</v>
      </c>
      <c r="C11" s="64">
        <f ca="1">C5/C8</f>
        <v>3.7542786988969998E-2</v>
      </c>
      <c r="D11" s="64">
        <f t="shared" ref="D11:G11" ca="1" si="1">D5/D8</f>
        <v>0.26227866765196234</v>
      </c>
      <c r="E11" s="64">
        <f ca="1">E5/E8</f>
        <v>0.552945990514491</v>
      </c>
      <c r="F11" s="64">
        <f t="shared" ca="1" si="1"/>
        <v>0.44121313257352202</v>
      </c>
      <c r="G11" s="297">
        <f t="shared" ca="1" si="1"/>
        <v>0.58346408914782166</v>
      </c>
    </row>
    <row r="12" spans="2:7">
      <c r="B12" s="3" t="s">
        <v>91</v>
      </c>
      <c r="C12" s="55">
        <f ca="1">C6/C8</f>
        <v>0.92634434061937265</v>
      </c>
      <c r="D12" s="55">
        <f t="shared" ref="D12:G12" ca="1" si="2">D6/D8</f>
        <v>0.72916406211741847</v>
      </c>
      <c r="E12" s="55">
        <f t="shared" ca="1" si="2"/>
        <v>0.46408673643626908</v>
      </c>
      <c r="F12" s="55">
        <f t="shared" ca="1" si="2"/>
        <v>0.49342929278063574</v>
      </c>
      <c r="G12" s="298">
        <f t="shared" ca="1" si="2"/>
        <v>0.4483613045817269</v>
      </c>
    </row>
    <row r="13" spans="2:7">
      <c r="B13" s="25" t="s">
        <v>92</v>
      </c>
      <c r="C13" s="65">
        <f ca="1">C7/C8</f>
        <v>3.6112872391657419E-2</v>
      </c>
      <c r="D13" s="65">
        <f t="shared" ref="D13:G13" ca="1" si="3">D7/D8</f>
        <v>8.5572702306192794E-3</v>
      </c>
      <c r="E13" s="65">
        <f t="shared" ca="1" si="3"/>
        <v>-1.7032726950760142E-2</v>
      </c>
      <c r="F13" s="65">
        <f t="shared" ca="1" si="3"/>
        <v>6.5357574645842159E-2</v>
      </c>
      <c r="G13" s="299">
        <f t="shared" ca="1" si="3"/>
        <v>-3.1825393729548609E-2</v>
      </c>
    </row>
    <row r="14" spans="2:7">
      <c r="B14" s="20" t="s">
        <v>76</v>
      </c>
      <c r="C14" s="110">
        <f>Muncă!C12</f>
        <v>1</v>
      </c>
      <c r="D14" s="110">
        <f>Muncă!D12</f>
        <v>0.96839494319091057</v>
      </c>
      <c r="E14" s="110">
        <f>Muncă!E12</f>
        <v>0.92606817090734517</v>
      </c>
      <c r="F14" s="110">
        <f>Muncă!F12</f>
        <v>0.87093935029604741</v>
      </c>
      <c r="G14" s="300">
        <f>Muncă!G12</f>
        <v>0.83353336533845412</v>
      </c>
    </row>
    <row r="15" spans="2:7">
      <c r="B15" s="4" t="s">
        <v>93</v>
      </c>
      <c r="C15" s="111">
        <f ca="1">Materiale!C77</f>
        <v>1</v>
      </c>
      <c r="D15" s="111">
        <f ca="1">Materiale!D77</f>
        <v>0.80277234274568732</v>
      </c>
      <c r="E15" s="111">
        <f ca="1">Materiale!E77</f>
        <v>0.67558784439986796</v>
      </c>
      <c r="F15" s="111">
        <f ca="1">Materiale!F77</f>
        <v>0.62281426916441318</v>
      </c>
      <c r="G15" s="301">
        <f ca="1">Materiale!G77</f>
        <v>0.59206535691510087</v>
      </c>
    </row>
    <row r="16" spans="2:7">
      <c r="B16" s="4" t="s">
        <v>137</v>
      </c>
      <c r="C16" s="112">
        <f ca="1">'Capital angajat'!C37</f>
        <v>1</v>
      </c>
      <c r="D16" s="112">
        <f ca="1">'Capital angajat'!D37</f>
        <v>0.66059902636718892</v>
      </c>
      <c r="E16" s="112">
        <f ca="1">'Capital angajat'!E37</f>
        <v>0.3693826889904952</v>
      </c>
      <c r="F16" s="112">
        <f ca="1">'Capital angajat'!F37</f>
        <v>0.64590002827849002</v>
      </c>
      <c r="G16" s="302">
        <f ca="1">'Capital angajat'!G37</f>
        <v>0.32673185223272511</v>
      </c>
    </row>
    <row r="17" spans="1:7">
      <c r="B17" s="2" t="s">
        <v>94</v>
      </c>
      <c r="C17" s="113">
        <v>1</v>
      </c>
      <c r="D17" s="113">
        <f t="shared" ref="D17:G17" ca="1" si="4">SUMPRODUCT(D14:D16,C11:C13)/SUMPRODUCT(C14:C16,C11:C13)</f>
        <v>0.8038559899228862</v>
      </c>
      <c r="E17" s="113">
        <f t="shared" ca="1" si="4"/>
        <v>0.87416281574930366</v>
      </c>
      <c r="F17" s="113">
        <f t="shared" ca="1" si="4"/>
        <v>0.92715217347967527</v>
      </c>
      <c r="G17" s="303">
        <f t="shared" ca="1" si="4"/>
        <v>0.9284048172611582</v>
      </c>
    </row>
    <row r="18" spans="1:7">
      <c r="B18" s="3" t="s">
        <v>95</v>
      </c>
      <c r="C18" s="114">
        <v>1</v>
      </c>
      <c r="D18" s="114">
        <f t="shared" ref="D18:G18" ca="1" si="5">SUMPRODUCT(D14:D16,D11:D13)/SUMPRODUCT(C14:C16,D11:D13)</f>
        <v>0.84499500223567947</v>
      </c>
      <c r="E18" s="114">
        <f t="shared" ca="1" si="5"/>
        <v>0.91361388269875332</v>
      </c>
      <c r="F18" s="114">
        <f t="shared" ca="1" si="5"/>
        <v>0.95784950161743942</v>
      </c>
      <c r="G18" s="304">
        <f t="shared" ca="1" si="5"/>
        <v>0.96680711433619682</v>
      </c>
    </row>
    <row r="19" spans="1:7">
      <c r="B19" s="3" t="s">
        <v>96</v>
      </c>
      <c r="C19" s="114">
        <v>1</v>
      </c>
      <c r="D19" s="114">
        <f t="shared" ref="D19:G19" ca="1" si="6">(D17*D18)^0.5</f>
        <v>0.82416885041965371</v>
      </c>
      <c r="E19" s="114">
        <f t="shared" ca="1" si="6"/>
        <v>0.89367067995296579</v>
      </c>
      <c r="F19" s="114">
        <f t="shared" ca="1" si="6"/>
        <v>0.94237585245539512</v>
      </c>
      <c r="G19" s="304">
        <f t="shared" ca="1" si="6"/>
        <v>0.94741141132671847</v>
      </c>
    </row>
    <row r="20" spans="1:7">
      <c r="B20" s="4" t="s">
        <v>132</v>
      </c>
      <c r="C20" s="115">
        <v>1</v>
      </c>
      <c r="D20" s="115">
        <f t="shared" ref="D20:G20" ca="1" si="7">C20*D19</f>
        <v>0.82416885041965371</v>
      </c>
      <c r="E20" s="115">
        <f ca="1">D20*E19</f>
        <v>0.73653553695058605</v>
      </c>
      <c r="F20" s="115">
        <f t="shared" ca="1" si="7"/>
        <v>0.69409330449750073</v>
      </c>
      <c r="G20" s="305">
        <f t="shared" ca="1" si="7"/>
        <v>0.65759191720640287</v>
      </c>
    </row>
    <row r="21" spans="1:7">
      <c r="B21" s="148" t="s">
        <v>98</v>
      </c>
      <c r="C21" s="97"/>
      <c r="D21" s="84">
        <f ca="1">LN(D20/C20)</f>
        <v>-0.19337985450715839</v>
      </c>
      <c r="E21" s="84">
        <f ca="1">LN(E20/D20)</f>
        <v>-0.11241793861538291</v>
      </c>
      <c r="F21" s="84">
        <f ca="1">LN(F20/E20)</f>
        <v>-5.9351089868751476E-2</v>
      </c>
      <c r="G21" s="84">
        <f ca="1">LN(G20/F20)</f>
        <v>-5.4021843677207165E-2</v>
      </c>
    </row>
    <row r="22" spans="1:7">
      <c r="B22" s="11"/>
      <c r="C22" s="67"/>
      <c r="D22" s="67"/>
      <c r="E22" s="67"/>
      <c r="F22" s="67"/>
      <c r="G22" s="306"/>
    </row>
    <row r="23" spans="1:7">
      <c r="B23" s="76" t="s">
        <v>133</v>
      </c>
      <c r="C23" s="68"/>
      <c r="D23" s="69"/>
      <c r="E23" s="69"/>
      <c r="F23" s="69"/>
      <c r="G23" s="307"/>
    </row>
    <row r="24" spans="1:7">
      <c r="B24" s="162" t="s">
        <v>100</v>
      </c>
      <c r="C24" s="163">
        <v>2.8000000000000001E-2</v>
      </c>
      <c r="D24" s="163">
        <v>1.0999999999999999E-2</v>
      </c>
      <c r="E24" s="163">
        <v>8.9999999999999993E-3</v>
      </c>
      <c r="F24" s="163">
        <v>8.0000000000000002E-3</v>
      </c>
      <c r="G24" s="168">
        <v>7.0000000000000001E-3</v>
      </c>
    </row>
    <row r="25" spans="1:7">
      <c r="B25" s="18" t="s">
        <v>98</v>
      </c>
      <c r="C25" s="98"/>
      <c r="D25" s="70">
        <f ca="1">D21</f>
        <v>-0.19337985450715839</v>
      </c>
      <c r="E25" s="70">
        <f ca="1">E21</f>
        <v>-0.11241793861538291</v>
      </c>
      <c r="F25" s="70">
        <f t="shared" ref="F25:G25" ca="1" si="8">F21</f>
        <v>-5.9351089868751476E-2</v>
      </c>
      <c r="G25" s="168">
        <f t="shared" ca="1" si="8"/>
        <v>-5.4021843677207165E-2</v>
      </c>
    </row>
    <row r="26" spans="1:7">
      <c r="B26" s="18" t="s">
        <v>97</v>
      </c>
      <c r="C26" s="70"/>
      <c r="D26" s="70">
        <f ca="1">Outputuri!D69</f>
        <v>0.82061131701268231</v>
      </c>
      <c r="E26" s="70">
        <f ca="1">Outputuri!E69</f>
        <v>-0.29265189427156424</v>
      </c>
      <c r="F26" s="168">
        <f ca="1">Outputuri!F69</f>
        <v>-0.73777912079909536</v>
      </c>
      <c r="G26" s="168">
        <f ca="1">Outputuri!G69</f>
        <v>1.7142578059600619</v>
      </c>
    </row>
    <row r="27" spans="1:7">
      <c r="B27" s="18" t="s">
        <v>99</v>
      </c>
      <c r="C27" s="88">
        <f>C26-C25</f>
        <v>0</v>
      </c>
      <c r="D27" s="168">
        <f ca="1">D26-D25</f>
        <v>1.0139911715198406</v>
      </c>
      <c r="E27" s="168">
        <f ca="1">E26-E25</f>
        <v>-0.18023395565618133</v>
      </c>
      <c r="F27" s="168">
        <f ca="1">F26-F25</f>
        <v>-0.67842803093034387</v>
      </c>
      <c r="G27" s="168">
        <f ca="1">G26-G25</f>
        <v>1.768279649637269</v>
      </c>
    </row>
    <row r="28" spans="1:7" ht="14.4" thickBot="1">
      <c r="B28" s="214" t="s">
        <v>3</v>
      </c>
      <c r="C28" s="99"/>
      <c r="D28" s="89">
        <f ca="1">D27-D24</f>
        <v>1.0029911715198407</v>
      </c>
      <c r="E28" s="89">
        <f ca="1">E27-E24</f>
        <v>-0.18923395565618134</v>
      </c>
      <c r="F28" s="89">
        <f ca="1">F27-F24</f>
        <v>-0.68642803093034388</v>
      </c>
      <c r="G28" s="89">
        <f ca="1">G27-G24</f>
        <v>1.7612796496372691</v>
      </c>
    </row>
    <row r="29" spans="1:7" ht="14.4" thickBot="1">
      <c r="B29" s="6"/>
      <c r="C29" s="54"/>
      <c r="D29" s="54"/>
      <c r="E29" s="54"/>
      <c r="F29" s="54"/>
      <c r="G29" s="322">
        <v>3.7852421134207774E-2</v>
      </c>
    </row>
    <row r="30" spans="1:7">
      <c r="B30"/>
      <c r="C30" s="54"/>
      <c r="D30" s="54"/>
      <c r="E30" s="54"/>
      <c r="F30" s="54"/>
      <c r="G30" s="54"/>
    </row>
    <row r="31" spans="1:7">
      <c r="B31" s="51" t="s">
        <v>134</v>
      </c>
      <c r="C31" s="68"/>
      <c r="D31" s="69"/>
      <c r="E31" s="69"/>
      <c r="F31" s="69"/>
      <c r="G31" s="69"/>
    </row>
    <row r="32" spans="1:7">
      <c r="A32" s="126"/>
      <c r="B32" s="127" t="s">
        <v>121</v>
      </c>
      <c r="C32" s="128">
        <f>'Indicii prețurilor'!C23/100-1</f>
        <v>2.0599999999999952E-2</v>
      </c>
      <c r="D32" s="128">
        <f>'Indicii prețurilor'!D23/100-1</f>
        <v>8.1900000000000084E-2</v>
      </c>
      <c r="E32" s="128">
        <f>'Indicii prețurilor'!E23/100-1</f>
        <v>0.16369999999999996</v>
      </c>
      <c r="F32" s="128">
        <f>'Indicii prețurilor'!F23/100-1</f>
        <v>6.6100000000000048E-2</v>
      </c>
      <c r="G32" s="128">
        <f>'Indicii prețurilor'!G23/100-1</f>
        <v>5.1400000000000112E-2</v>
      </c>
    </row>
    <row r="33" spans="1:7">
      <c r="A33" s="129"/>
      <c r="B33" s="20" t="s">
        <v>90</v>
      </c>
      <c r="C33" s="77">
        <f ca="1">C11</f>
        <v>3.7542786988969998E-2</v>
      </c>
      <c r="D33" s="77">
        <f t="shared" ref="D33:G33" ca="1" si="9">D11</f>
        <v>0.26227866765196234</v>
      </c>
      <c r="E33" s="77">
        <f ca="1">E11</f>
        <v>0.552945990514491</v>
      </c>
      <c r="F33" s="77">
        <f t="shared" ca="1" si="9"/>
        <v>0.44121313257352202</v>
      </c>
      <c r="G33" s="64">
        <f t="shared" ca="1" si="9"/>
        <v>0.58346408914782166</v>
      </c>
    </row>
    <row r="34" spans="1:7">
      <c r="A34" s="129"/>
      <c r="B34" s="3" t="s">
        <v>91</v>
      </c>
      <c r="C34" s="78">
        <f ca="1">C12</f>
        <v>0.92634434061937265</v>
      </c>
      <c r="D34" s="78">
        <f t="shared" ref="D34:G35" ca="1" si="10">D12</f>
        <v>0.72916406211741847</v>
      </c>
      <c r="E34" s="78">
        <f t="shared" ca="1" si="10"/>
        <v>0.46408673643626908</v>
      </c>
      <c r="F34" s="78">
        <f t="shared" ca="1" si="10"/>
        <v>0.49342929278063574</v>
      </c>
      <c r="G34" s="70">
        <f t="shared" ca="1" si="10"/>
        <v>0.4483613045817269</v>
      </c>
    </row>
    <row r="35" spans="1:7">
      <c r="A35" s="129"/>
      <c r="B35" s="25" t="s">
        <v>92</v>
      </c>
      <c r="C35" s="73">
        <f ca="1">C13</f>
        <v>3.6112872391657419E-2</v>
      </c>
      <c r="D35" s="73">
        <f t="shared" ca="1" si="10"/>
        <v>8.5572702306192794E-3</v>
      </c>
      <c r="E35" s="73">
        <f t="shared" ca="1" si="10"/>
        <v>-1.7032726950760142E-2</v>
      </c>
      <c r="F35" s="73">
        <f t="shared" ca="1" si="10"/>
        <v>6.5357574645842159E-2</v>
      </c>
      <c r="G35" s="56">
        <f t="shared" ca="1" si="10"/>
        <v>-3.1825393729548609E-2</v>
      </c>
    </row>
    <row r="36" spans="1:7">
      <c r="A36" s="129"/>
      <c r="B36" s="20" t="s">
        <v>135</v>
      </c>
      <c r="C36" s="116">
        <f ca="1">Muncă!C10</f>
        <v>1</v>
      </c>
      <c r="D36" s="116">
        <f ca="1">Muncă!D10</f>
        <v>8.5214707580638027</v>
      </c>
      <c r="E36" s="116">
        <f ca="1">Muncă!E10</f>
        <v>27.221907623730946</v>
      </c>
      <c r="F36" s="116">
        <f ca="1">Muncă!F10</f>
        <v>20.548543131767257</v>
      </c>
      <c r="G36" s="308">
        <f ca="1">Muncă!G10</f>
        <v>31.647278097300244</v>
      </c>
    </row>
    <row r="37" spans="1:7">
      <c r="A37" s="129"/>
      <c r="B37" s="4" t="s">
        <v>136</v>
      </c>
      <c r="C37" s="116">
        <f>Materiale!C75</f>
        <v>1</v>
      </c>
      <c r="D37" s="116">
        <f ca="1">Materiale!D75</f>
        <v>1.1582198743925132</v>
      </c>
      <c r="E37" s="116">
        <f ca="1">Materiale!E75</f>
        <v>1.2692588103614195</v>
      </c>
      <c r="F37" s="116">
        <f ca="1">Materiale!F75</f>
        <v>1.3023896899977838</v>
      </c>
      <c r="G37" s="308">
        <f ca="1">Materiale!G75</f>
        <v>1.3875791051769328</v>
      </c>
    </row>
    <row r="38" spans="1:7">
      <c r="A38" s="129"/>
      <c r="B38" s="4" t="s">
        <v>88</v>
      </c>
      <c r="C38" s="116">
        <f>'Capital angajat'!C34</f>
        <v>1</v>
      </c>
      <c r="D38" s="116">
        <f ca="1">'Capital angajat'!D34</f>
        <v>1.0564</v>
      </c>
      <c r="E38" s="116">
        <f ca="1">'Capital angajat'!E34</f>
        <v>1.2097892799999999</v>
      </c>
      <c r="F38" s="116">
        <f ca="1">'Capital angajat'!F34</f>
        <v>1.4637240498719999</v>
      </c>
      <c r="G38" s="308">
        <f ca="1">'Capital angajat'!G34</f>
        <v>1.8542456263778493</v>
      </c>
    </row>
    <row r="39" spans="1:7">
      <c r="A39" s="129"/>
      <c r="B39" s="20" t="s">
        <v>126</v>
      </c>
      <c r="C39" s="118">
        <v>1</v>
      </c>
      <c r="D39" s="118">
        <f ca="1">SUMPRODUCT(D36:D38,C33:C35)/SUMPRODUCT(C36:C38,C33:C35)</f>
        <v>1.4309798257336583</v>
      </c>
      <c r="E39" s="118">
        <f t="shared" ref="E39:G39" ca="1" si="11">SUMPRODUCT(E36:E38,D33:D35)/SUMPRODUCT(D36:D38,D33:D35)</f>
        <v>2.6146631934874622</v>
      </c>
      <c r="F39" s="118">
        <f t="shared" ca="1" si="11"/>
        <v>0.76448153356967707</v>
      </c>
      <c r="G39" s="110">
        <f t="shared" ca="1" si="11"/>
        <v>1.5063410339416163</v>
      </c>
    </row>
    <row r="40" spans="1:7">
      <c r="A40" s="129"/>
      <c r="B40" s="3" t="s">
        <v>138</v>
      </c>
      <c r="C40" s="116">
        <v>1</v>
      </c>
      <c r="D40" s="116">
        <f ca="1">SUMPRODUCT(D36:D38,D33:D35)/SUMPRODUCT(C36:C38,D33:D35)</f>
        <v>3.0885722055689278</v>
      </c>
      <c r="E40" s="116">
        <f t="shared" ref="E40:G40" ca="1" si="12">SUMPRODUCT(E36:E38,E33:E35)/SUMPRODUCT(D36:D38,E33:E35)</f>
        <v>2.9859278072956781</v>
      </c>
      <c r="F40" s="116">
        <f t="shared" ca="1" si="12"/>
        <v>0.77104224435492341</v>
      </c>
      <c r="G40" s="308">
        <f t="shared" ca="1" si="12"/>
        <v>1.5190100546359562</v>
      </c>
    </row>
    <row r="41" spans="1:7">
      <c r="A41" s="129"/>
      <c r="B41" s="3" t="s">
        <v>139</v>
      </c>
      <c r="C41" s="116">
        <v>1</v>
      </c>
      <c r="D41" s="116">
        <f ca="1">(D39*D40)^0.5</f>
        <v>2.102304572722717</v>
      </c>
      <c r="E41" s="116">
        <f ca="1">(E39*E40)^0.5</f>
        <v>2.7941359194117119</v>
      </c>
      <c r="F41" s="116">
        <f t="shared" ref="F41:G41" ca="1" si="13">(F39*F40)^0.5</f>
        <v>0.76775488107302681</v>
      </c>
      <c r="G41" s="308">
        <f t="shared" ca="1" si="13"/>
        <v>1.5126622809695618</v>
      </c>
    </row>
    <row r="42" spans="1:7">
      <c r="A42" s="129"/>
      <c r="B42" s="25" t="s">
        <v>118</v>
      </c>
      <c r="C42" s="119">
        <v>1</v>
      </c>
      <c r="D42" s="119">
        <f ca="1">C42*D41</f>
        <v>2.102304572722717</v>
      </c>
      <c r="E42" s="119">
        <f ca="1">D42*E41</f>
        <v>5.8741247201880347</v>
      </c>
      <c r="F42" s="119">
        <f t="shared" ref="F42:G42" ca="1" si="14">E42*F41</f>
        <v>4.5098879259560913</v>
      </c>
      <c r="G42" s="309">
        <f t="shared" ca="1" si="14"/>
        <v>6.8219373569938275</v>
      </c>
    </row>
    <row r="43" spans="1:7">
      <c r="A43" s="129"/>
      <c r="B43" s="48" t="s">
        <v>140</v>
      </c>
      <c r="C43" s="71"/>
      <c r="D43" s="66">
        <f ca="1">LN(D42/C42)</f>
        <v>0.74303415859132804</v>
      </c>
      <c r="E43" s="66">
        <f ca="1">LN(E42/D42)</f>
        <v>1.0275229065419249</v>
      </c>
      <c r="F43" s="66">
        <f ca="1">LN(F42/E42)</f>
        <v>-0.26428476204803586</v>
      </c>
      <c r="G43" s="66">
        <f ca="1">LN(G42/F42)</f>
        <v>0.41387119837037151</v>
      </c>
    </row>
    <row r="44" spans="1:7" ht="14.4" thickBot="1">
      <c r="A44" s="53"/>
      <c r="B44" s="215" t="s">
        <v>141</v>
      </c>
      <c r="C44" s="130"/>
      <c r="D44" s="131">
        <f ca="1">D32-D43</f>
        <v>-0.66113415859132796</v>
      </c>
      <c r="E44" s="131">
        <f t="shared" ref="E44" ca="1" si="15">E32-E43</f>
        <v>-0.86382290654192495</v>
      </c>
      <c r="F44" s="131">
        <f ca="1">F32-F43</f>
        <v>0.33038476204803591</v>
      </c>
      <c r="G44" s="131">
        <f ca="1">G32-G43</f>
        <v>-0.36247119837037139</v>
      </c>
    </row>
    <row r="45" spans="1:7" ht="14.4" thickBot="1">
      <c r="B45" s="11"/>
      <c r="C45" s="54"/>
      <c r="D45" s="54"/>
      <c r="E45" s="54"/>
      <c r="F45" s="54"/>
      <c r="G45" s="322">
        <v>-1.9719975692458865E-2</v>
      </c>
    </row>
    <row r="46" spans="1:7">
      <c r="B46" s="74" t="s">
        <v>142</v>
      </c>
      <c r="C46" s="54"/>
      <c r="D46" s="54"/>
      <c r="E46" s="54"/>
      <c r="F46" s="54"/>
      <c r="G46" s="54"/>
    </row>
    <row r="47" spans="1:7">
      <c r="B47" s="17" t="s">
        <v>120</v>
      </c>
      <c r="C47" s="117">
        <f>'Indicii prețurilor'!C44</f>
        <v>1</v>
      </c>
      <c r="D47" s="117">
        <f>'Indicii prețurilor'!D44</f>
        <v>1.0819000000000001</v>
      </c>
      <c r="E47" s="117">
        <f>'Indicii prețurilor'!E44</f>
        <v>1.2590070300000002</v>
      </c>
      <c r="F47" s="117">
        <f>'Indicii prețurilor'!F44</f>
        <v>1.3422273946830003</v>
      </c>
      <c r="G47" s="117">
        <f>'Indicii prețurilor'!G44</f>
        <v>1.4112178827697064</v>
      </c>
    </row>
    <row r="48" spans="1:7">
      <c r="B48" s="44" t="s">
        <v>143</v>
      </c>
      <c r="C48" s="100"/>
      <c r="D48" s="72">
        <f>D47/C47-1</f>
        <v>8.1900000000000084E-2</v>
      </c>
      <c r="E48" s="72">
        <f>E47/D47-1</f>
        <v>0.16370000000000018</v>
      </c>
      <c r="F48" s="72">
        <f t="shared" ref="F48" si="16">F47/E47-1</f>
        <v>6.6100000000000048E-2</v>
      </c>
      <c r="G48" s="72">
        <f>G47/F47-1</f>
        <v>5.139999999999989E-2</v>
      </c>
    </row>
    <row r="49" spans="2:7">
      <c r="B49" s="164" t="s">
        <v>152</v>
      </c>
      <c r="C49" s="101"/>
      <c r="D49" s="75">
        <f>D48-$G$29</f>
        <v>4.404757886579231E-2</v>
      </c>
      <c r="E49" s="75">
        <f>E48-$G$29</f>
        <v>0.1258475788657924</v>
      </c>
      <c r="F49" s="75">
        <f>F48-$G$29</f>
        <v>2.8247578865792274E-2</v>
      </c>
      <c r="G49" s="66">
        <f>G48-$G$29</f>
        <v>1.3547578865792116E-2</v>
      </c>
    </row>
    <row r="50" spans="2:7">
      <c r="B50" s="19" t="s">
        <v>144</v>
      </c>
      <c r="C50" s="102"/>
      <c r="D50" s="56">
        <f t="shared" ref="D50:G50" ca="1" si="17">D48-(D28+D44)</f>
        <v>-0.2599570129285127</v>
      </c>
      <c r="E50" s="56">
        <f t="shared" ca="1" si="17"/>
        <v>1.2167568621981064</v>
      </c>
      <c r="F50" s="56">
        <f t="shared" ca="1" si="17"/>
        <v>0.42214326888230802</v>
      </c>
      <c r="G50" s="56">
        <f t="shared" ca="1" si="17"/>
        <v>-1.3474084512668978</v>
      </c>
    </row>
    <row r="51" spans="2:7">
      <c r="B51" s="165" t="s">
        <v>145</v>
      </c>
      <c r="C51" s="79"/>
      <c r="D51" s="79">
        <f>D48-($G$29+$G$45)</f>
        <v>6.3767554558251172E-2</v>
      </c>
      <c r="E51" s="79">
        <f>E48-($G$29+$G$45)</f>
        <v>0.14556755455825127</v>
      </c>
      <c r="F51" s="79">
        <f>F48-($G$29+$G$45)</f>
        <v>4.7967554558251135E-2</v>
      </c>
      <c r="G51" s="310">
        <f>G48-($G$29+$G$45)</f>
        <v>3.3267554558250978E-2</v>
      </c>
    </row>
    <row r="52" spans="2:7">
      <c r="B52" s="6"/>
      <c r="C52" s="62"/>
      <c r="D52" s="62"/>
      <c r="E52" s="62"/>
      <c r="F52" s="62"/>
      <c r="G52" s="62"/>
    </row>
    <row r="53" spans="2:7" ht="18" hidden="1" thickBot="1">
      <c r="B53" s="213" t="s">
        <v>167</v>
      </c>
      <c r="C53" s="225" t="e">
        <f>C64</f>
        <v>#REF!</v>
      </c>
      <c r="D53" s="6"/>
      <c r="E53" s="6"/>
      <c r="F53" s="6"/>
      <c r="G53" s="6"/>
    </row>
    <row r="54" spans="2:7" ht="60.6" hidden="1" thickBot="1">
      <c r="B54" s="213" t="s">
        <v>168</v>
      </c>
      <c r="C54" s="227" t="s">
        <v>166</v>
      </c>
      <c r="D54" s="7"/>
      <c r="E54" s="7"/>
      <c r="F54" s="7"/>
      <c r="G54" s="7"/>
    </row>
    <row r="55" spans="2:7" hidden="1"/>
    <row r="56" spans="2:7" hidden="1"/>
    <row r="57" spans="2:7" ht="13.8" hidden="1" thickBot="1">
      <c r="B57" s="226" t="s">
        <v>154</v>
      </c>
      <c r="C57" s="167"/>
    </row>
    <row r="58" spans="2:7" hidden="1">
      <c r="B58" s="226" t="s">
        <v>146</v>
      </c>
      <c r="C58" s="226">
        <v>150902919.75443929</v>
      </c>
      <c r="D58" s="212"/>
      <c r="E58" s="169"/>
    </row>
    <row r="59" spans="2:7" hidden="1">
      <c r="B59" s="226" t="s">
        <v>163</v>
      </c>
      <c r="C59" s="226">
        <v>179339462.03882411</v>
      </c>
      <c r="D59" s="212"/>
    </row>
    <row r="60" spans="2:7" hidden="1">
      <c r="B60" s="226" t="s">
        <v>164</v>
      </c>
      <c r="C60" s="226">
        <v>5106534</v>
      </c>
      <c r="D60" s="212"/>
    </row>
    <row r="61" spans="2:7" hidden="1">
      <c r="B61" s="226" t="s">
        <v>165</v>
      </c>
      <c r="C61" s="226">
        <f>C58/(C59+C60)</f>
        <v>0.81814147769667867</v>
      </c>
    </row>
    <row r="62" spans="2:7" hidden="1">
      <c r="B62" s="226" t="s">
        <v>147</v>
      </c>
      <c r="C62" s="226">
        <f>((C59+C60)/C58)-1</f>
        <v>0.22228248690594365</v>
      </c>
    </row>
    <row r="63" spans="2:7" hidden="1">
      <c r="B63" s="226" t="s">
        <v>148</v>
      </c>
      <c r="C63" s="226">
        <v>1</v>
      </c>
    </row>
    <row r="64" spans="2:7" hidden="1">
      <c r="B64" s="226" t="s">
        <v>149</v>
      </c>
      <c r="C64" s="226" t="e">
        <f>#REF!</f>
        <v>#REF!</v>
      </c>
    </row>
    <row r="65" spans="2:6" hidden="1">
      <c r="B65" s="226" t="s">
        <v>150</v>
      </c>
      <c r="C65" s="226">
        <f>(1+C62)^(1/C63)-1</f>
        <v>0.22228248690594365</v>
      </c>
    </row>
    <row r="66" spans="2:6" ht="18" hidden="1" thickBot="1">
      <c r="B66" s="226" t="s">
        <v>151</v>
      </c>
      <c r="C66" s="225" t="e">
        <f>C64</f>
        <v>#REF!</v>
      </c>
    </row>
    <row r="67" spans="2:6">
      <c r="C67" s="211"/>
    </row>
    <row r="68" spans="2:6" hidden="1">
      <c r="C68" s="180"/>
      <c r="D68" s="313" t="s">
        <v>179</v>
      </c>
      <c r="E68" s="312">
        <f>3.4-1.82</f>
        <v>1.5799999999999998</v>
      </c>
      <c r="F68" s="313" t="s">
        <v>178</v>
      </c>
    </row>
    <row r="71" spans="2:6">
      <c r="D71" s="175"/>
    </row>
  </sheetData>
  <phoneticPr fontId="8" type="noConversion"/>
  <pageMargins left="0.75" right="0.75" top="1" bottom="1" header="0.4921259845" footer="0.4921259845"/>
  <pageSetup paperSize="9" scale="61" orientation="landscape" r:id="rId1"/>
  <headerFooter alignWithMargins="0"/>
  <rowBreaks count="1" manualBreakCount="1">
    <brk id="4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Outputuri</vt:lpstr>
      <vt:lpstr>Indicii prețurilor</vt:lpstr>
      <vt:lpstr>Muncă</vt:lpstr>
      <vt:lpstr>Materiale</vt:lpstr>
      <vt:lpstr>Capital angajat</vt:lpstr>
      <vt:lpstr>Costul Capitalului</vt:lpstr>
      <vt:lpstr>X&amp;Z Factor</vt:lpstr>
    </vt:vector>
  </TitlesOfParts>
  <Company>Detecon International GmbH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gheorghe.rusen@ancom.org.ro</dc:creator>
  <cp:lastModifiedBy>Corina Voicu</cp:lastModifiedBy>
  <cp:lastPrinted>2021-04-20T10:23:04Z</cp:lastPrinted>
  <dcterms:created xsi:type="dcterms:W3CDTF">2006-02-12T14:53:28Z</dcterms:created>
  <dcterms:modified xsi:type="dcterms:W3CDTF">2025-10-21T08:04:40Z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hinkcellXlWorkbookDoNotDelete" linkTarget="&lt;?xml version=&quot;1.0&quot; encoding=&quot;UTF-16&quot; standalone=&quot;yes&quot;?&gt;&#10;&lt;root&gt;&lt;version val=&quot;15040&quot;/&gt;&lt;partner val=&quot;728&quot;/&gt;&lt;CXlWorkbook id=&quot;1&quot;&gt;&lt;m_cxllink/&gt;&lt;/CXlWorkbook&gt;&lt;/root&gt;">
    <vt:lpwstr/>
  </property>
</Properties>
</file>