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ces la infrastructura\tarife orientative\stalpi\consultare publica\versiune publica modele\"/>
    </mc:Choice>
  </mc:AlternateContent>
  <xr:revisionPtr revIDLastSave="1" documentId="13_ncr:1_{D49D3D4F-9395-4438-B1B3-EB4001BD6F4D}" xr6:coauthVersionLast="47" xr6:coauthVersionMax="47" xr10:uidLastSave="{2572EF50-B3D5-4440-8BAD-BE379F12B81A}"/>
  <bookViews>
    <workbookView xWindow="-120" yWindow="-120" windowWidth="29040" windowHeight="15840" tabRatio="839" activeTab="1" xr2:uid="{CC471820-8A98-442E-950A-47F94BBF270B}"/>
  </bookViews>
  <sheets>
    <sheet name="legenda" sheetId="10" r:id="rId1"/>
    <sheet name="Calcul tarif" sheetId="9" r:id="rId2"/>
    <sheet name="calcul_suport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9" l="1"/>
  <c r="G5" i="9"/>
  <c r="F5" i="9"/>
  <c r="C121" i="9" l="1"/>
  <c r="C5" i="9" l="1"/>
  <c r="I56" i="9"/>
  <c r="I63" i="9" s="1"/>
  <c r="H56" i="9"/>
  <c r="E56" i="9"/>
  <c r="D56" i="9"/>
  <c r="C56" i="9"/>
  <c r="I55" i="9"/>
  <c r="I62" i="9" s="1"/>
  <c r="H55" i="9"/>
  <c r="D4" i="7"/>
  <c r="I54" i="9"/>
  <c r="I61" i="9" s="1"/>
  <c r="H54" i="9"/>
  <c r="E54" i="9"/>
  <c r="D54" i="9"/>
  <c r="C54" i="9"/>
  <c r="F56" i="9" l="1"/>
  <c r="C4" i="7"/>
  <c r="G55" i="9"/>
  <c r="F54" i="9"/>
  <c r="E4" i="7"/>
  <c r="G56" i="9"/>
  <c r="G63" i="9" s="1"/>
  <c r="G54" i="9"/>
  <c r="F55" i="9"/>
  <c r="K124" i="9"/>
  <c r="K126" i="9" s="1"/>
  <c r="Q39" i="9"/>
  <c r="P39" i="9"/>
  <c r="O39" i="9"/>
  <c r="J35" i="9" l="1"/>
  <c r="C73" i="9" s="1"/>
  <c r="J34" i="9"/>
  <c r="C72" i="9" s="1"/>
  <c r="J36" i="9"/>
  <c r="C74" i="9" s="1"/>
  <c r="D8" i="9"/>
  <c r="H61" i="9"/>
  <c r="G62" i="9"/>
  <c r="J5" i="9"/>
  <c r="H62" i="9"/>
  <c r="F61" i="9"/>
  <c r="G61" i="9"/>
  <c r="E8" i="9"/>
  <c r="F63" i="9"/>
  <c r="H63" i="9"/>
  <c r="J41" i="9"/>
  <c r="C8" i="9"/>
  <c r="J54" i="9"/>
  <c r="F62" i="9"/>
  <c r="J55" i="9"/>
  <c r="J56" i="9"/>
  <c r="J42" i="9"/>
  <c r="J43" i="9"/>
  <c r="J30" i="9" l="1"/>
  <c r="C70" i="9" s="1"/>
  <c r="J31" i="9"/>
  <c r="D63" i="9" s="1"/>
  <c r="J11" i="9"/>
  <c r="K54" i="9"/>
  <c r="J8" i="9"/>
  <c r="D24" i="9" s="1"/>
  <c r="C93" i="9" s="1"/>
  <c r="K56" i="9"/>
  <c r="K55" i="9"/>
  <c r="E24" i="9" l="1"/>
  <c r="C94" i="9" s="1"/>
  <c r="C63" i="9"/>
  <c r="E63" i="9"/>
  <c r="C71" i="9"/>
  <c r="C77" i="9" s="1"/>
  <c r="C80" i="9" s="1"/>
  <c r="D62" i="9"/>
  <c r="C62" i="9"/>
  <c r="E62" i="9"/>
  <c r="C76" i="9"/>
  <c r="C79" i="9" s="1"/>
  <c r="J63" i="9" l="1"/>
  <c r="J62" i="9"/>
  <c r="D10" i="7" l="1"/>
  <c r="C86" i="9" l="1"/>
  <c r="C101" i="9" s="1"/>
  <c r="C109" i="9" s="1"/>
  <c r="C117" i="9" s="1"/>
  <c r="C128" i="9" s="1"/>
  <c r="C87" i="9"/>
  <c r="C102" i="9" s="1"/>
  <c r="C110" i="9" s="1"/>
  <c r="C118" i="9" s="1"/>
  <c r="C129" i="9" s="1"/>
  <c r="E5" i="7"/>
  <c r="D5" i="7"/>
  <c r="C5" i="7"/>
  <c r="F5" i="7" l="1"/>
  <c r="C24" i="9" l="1"/>
  <c r="C92" i="9" s="1"/>
  <c r="C100" i="9" s="1"/>
  <c r="J29" i="9"/>
  <c r="C69" i="9" s="1"/>
  <c r="C75" i="9" s="1"/>
  <c r="C78" i="9" s="1"/>
  <c r="C108" i="9" l="1"/>
  <c r="C116" i="9" s="1"/>
  <c r="C127" i="9" s="1"/>
  <c r="E61" i="9"/>
  <c r="C61" i="9"/>
  <c r="D61" i="9"/>
  <c r="J6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tc={542C5048-4D37-4C40-9F60-98111F7D7A72}</author>
  </authors>
  <commentList>
    <comment ref="K120" authorId="0" shapeId="0" xr:uid="{542C5048-4D37-4C40-9F60-98111F7D7A7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https://www2.deloitte.com/global/en/pages/energy-and-resources/articles/european-power-utilities-newsletter.html</t>
      </text>
    </comment>
  </commentList>
</comments>
</file>

<file path=xl/sharedStrings.xml><?xml version="1.0" encoding="utf-8"?>
<sst xmlns="http://schemas.openxmlformats.org/spreadsheetml/2006/main" count="187" uniqueCount="82">
  <si>
    <t>Culoare celula</t>
  </si>
  <si>
    <t>Explicatie</t>
  </si>
  <si>
    <t>input operatori retea</t>
  </si>
  <si>
    <t>ATENTIE! TOATE VALORILE DIN CELULE MARCATE CU GALBEN SUNT FICTIVE, VALORILE REALE PE BAZA CARORA A FOST DETERMINAT TARIFUL SUNT CONFIDENTIALE (INFORMATII PRIMITE DE LA OPERATORII DE RETEA)</t>
  </si>
  <si>
    <t>input alte surse</t>
  </si>
  <si>
    <t>valoare  calculata</t>
  </si>
  <si>
    <t>valori folosite din informatiile furnizate pt litigii</t>
  </si>
  <si>
    <t>Tarife de acces la stalpii distribuitorilor de energie electrica</t>
  </si>
  <si>
    <t>1. Costuri cu investitiile</t>
  </si>
  <si>
    <t>Stalp IT</t>
  </si>
  <si>
    <t>E Distributie Banat</t>
  </si>
  <si>
    <t>E Distributie Dobrogea</t>
  </si>
  <si>
    <t>E Distributie Muntenia</t>
  </si>
  <si>
    <t>SDEE Transilvania Nord</t>
  </si>
  <si>
    <t>SDEE Transilvania Sud</t>
  </si>
  <si>
    <t>SDEE Muntenia Nord</t>
  </si>
  <si>
    <t>Distributie Oltenia</t>
  </si>
  <si>
    <t>Valoare medie</t>
  </si>
  <si>
    <t>Cost mediu stalp</t>
  </si>
  <si>
    <t>JT</t>
  </si>
  <si>
    <t>MT</t>
  </si>
  <si>
    <t>IT</t>
  </si>
  <si>
    <t>Stalp MT</t>
  </si>
  <si>
    <t>Stalp JT</t>
  </si>
  <si>
    <t>2. Costul anual cu mentenanta in raport cu valoarea stalpului</t>
  </si>
  <si>
    <t>Costuri totale anuale de O&amp;M din valoarea stalpului</t>
  </si>
  <si>
    <t>Cost  anual mediu de O&amp;M (% din valoarea stalpului)</t>
  </si>
  <si>
    <t>LEA IT</t>
  </si>
  <si>
    <t>LEA MT</t>
  </si>
  <si>
    <t>LEA JT</t>
  </si>
  <si>
    <t>Sursa: model de acces Romtelecom</t>
  </si>
  <si>
    <t>3. Costuri anuale cu mentenanta per stalp</t>
  </si>
  <si>
    <t>Cheltuieli totale</t>
  </si>
  <si>
    <t>4. Nr mediu cabluri comunicatii instalate pe stalpii la care a fost acordat acces</t>
  </si>
  <si>
    <r>
      <t xml:space="preserve">Numar mediu circuite  LTC pe stalp inchiriat </t>
    </r>
    <r>
      <rPr>
        <b/>
        <i/>
        <sz val="11"/>
        <rFont val="Calibri"/>
        <family val="2"/>
        <scheme val="minor"/>
      </rPr>
      <t>(calculat ca medie ponderata)</t>
    </r>
  </si>
  <si>
    <t>4' Nr mediu cabluri pt activitatea proprie</t>
  </si>
  <si>
    <t>5. Nr total stalpi</t>
  </si>
  <si>
    <t>Total stalpi</t>
  </si>
  <si>
    <t>6. Procentul de stâlpi pe care sunt instalate cabluri de comunicaţii electronice</t>
  </si>
  <si>
    <t>n/a</t>
  </si>
  <si>
    <t>7. Nr. stalpi cu circuite de comunicatii instalate</t>
  </si>
  <si>
    <t>Total stalpi cu circuite de comunicatii</t>
  </si>
  <si>
    <t>8. Nr. circuite de comunicatii instalate pe stalpi</t>
  </si>
  <si>
    <t>Nr circuite de comunicatii pe stalpi</t>
  </si>
  <si>
    <t>9. Cotele operatorilor de comunicatii</t>
  </si>
  <si>
    <t>Nr mediu circuite / conductoare electrice</t>
  </si>
  <si>
    <t>Numar mediu circuite / conductoare electrice la nivelul Electrica</t>
  </si>
  <si>
    <t>LTc</t>
  </si>
  <si>
    <t>Electrice</t>
  </si>
  <si>
    <t>Cotele operatorilor alocate pe stalp</t>
  </si>
  <si>
    <t>Cotele operatorilor alocate pe circuit / stalp</t>
  </si>
  <si>
    <t>10. Costuri lunare inventariere stalpi</t>
  </si>
  <si>
    <t>Cost inventariere / stalp fizic / circuit</t>
  </si>
  <si>
    <r>
      <t>Cost mediu</t>
    </r>
    <r>
      <rPr>
        <b/>
        <sz val="11"/>
        <color rgb="FFFF0000"/>
        <rFont val="Calibri"/>
        <family val="2"/>
        <scheme val="minor"/>
      </rPr>
      <t xml:space="preserve"> </t>
    </r>
  </si>
  <si>
    <t>11. Costuri lunare cu mentenanta per stalp</t>
  </si>
  <si>
    <t>Cost lunar cu mentenanta pe stalp</t>
  </si>
  <si>
    <t>Cost mediu lunar pe stalp</t>
  </si>
  <si>
    <t>12. Cost/stalp/luna - comun LEA si LTc, fara incremental - fara amortizare si beneficiu</t>
  </si>
  <si>
    <t>Cost/stalp/luna - comun LEA si LTc - fara amortizare si beneficiu si fara incremental</t>
  </si>
  <si>
    <t>Cost total mediu lunar pe stalp</t>
  </si>
  <si>
    <t>13. Cost/stalp/luna/circuit - aferent LTc, fara incremental - fara amortizare si beneficiu</t>
  </si>
  <si>
    <t>Cost/stalp/luna/circuit - comun LEA si LTc - fara amortizare si beneficiu si fara incremental</t>
  </si>
  <si>
    <t>14. Cost/stalp/luna/circuit - aferent LTc, inclusiv incremental - fara amortizare si beneficiu</t>
  </si>
  <si>
    <t>Cost/stalp/luna/circuit - comun LEA si LTc, inclusiv incremental- fara amortizare si beneficiu</t>
  </si>
  <si>
    <t>Raport Deloitte Q1 2021</t>
  </si>
  <si>
    <t>15. Cota beneficiu</t>
  </si>
  <si>
    <t>enel</t>
  </si>
  <si>
    <t>engie</t>
  </si>
  <si>
    <t>eon</t>
  </si>
  <si>
    <t xml:space="preserve">16. Total incremental si alocat LTc RON/stalp/luna/circuit cu cota beneficiu </t>
  </si>
  <si>
    <t>Medie aritmetica marja EBIT</t>
  </si>
  <si>
    <t>Cost/stalp/luna/circuit - comun LEA si LTc,  inclusiv incremental si beneficiu, dar fara amortizare</t>
  </si>
  <si>
    <t>Tarif/stalp/circuit LTC</t>
  </si>
  <si>
    <t>Cota beneficiu</t>
  </si>
  <si>
    <t>valoare medie curenta</t>
  </si>
  <si>
    <t>nr stalpi</t>
  </si>
  <si>
    <t>CAPEX</t>
  </si>
  <si>
    <t>lucrari instalare stalp (inlocuirea stalpului)</t>
  </si>
  <si>
    <t>costuri medii suplimentare per stalp</t>
  </si>
  <si>
    <t>cost mediu per inventariere (semestrial)</t>
  </si>
  <si>
    <t>Cost mediu inventariere / stalp JT si MT</t>
  </si>
  <si>
    <t>lei/luna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</si>
</sst>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@_)"/>
    <numFmt numFmtId="167" formatCode="0%_);\(0%\)"/>
    <numFmt numFmtId="168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Segoe U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/>
    <xf numFmtId="166" fontId="7" fillId="0" borderId="0"/>
    <xf numFmtId="167" fontId="7" fillId="0" borderId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5" fillId="0" borderId="0" xfId="0" applyFont="1"/>
    <xf numFmtId="165" fontId="0" fillId="0" borderId="0" xfId="1" applyNumberFormat="1" applyFont="1"/>
    <xf numFmtId="0" fontId="0" fillId="0" borderId="18" xfId="0" applyBorder="1"/>
    <xf numFmtId="164" fontId="0" fillId="0" borderId="0" xfId="0" applyNumberFormat="1"/>
    <xf numFmtId="3" fontId="0" fillId="0" borderId="0" xfId="0" applyNumberFormat="1"/>
    <xf numFmtId="164" fontId="0" fillId="0" borderId="0" xfId="1" applyFont="1"/>
    <xf numFmtId="0" fontId="9" fillId="0" borderId="0" xfId="0" applyFont="1"/>
    <xf numFmtId="164" fontId="6" fillId="0" borderId="0" xfId="0" applyNumberFormat="1" applyFont="1"/>
    <xf numFmtId="0" fontId="3" fillId="0" borderId="25" xfId="0" applyFont="1" applyBorder="1"/>
    <xf numFmtId="0" fontId="3" fillId="0" borderId="14" xfId="0" applyFont="1" applyBorder="1"/>
    <xf numFmtId="0" fontId="3" fillId="0" borderId="26" xfId="0" applyFont="1" applyBorder="1"/>
    <xf numFmtId="0" fontId="0" fillId="2" borderId="0" xfId="0" applyFill="1"/>
    <xf numFmtId="0" fontId="0" fillId="0" borderId="0" xfId="0" applyFill="1" applyBorder="1"/>
    <xf numFmtId="0" fontId="0" fillId="0" borderId="0" xfId="0" applyFill="1"/>
    <xf numFmtId="0" fontId="11" fillId="0" borderId="0" xfId="0" applyFont="1"/>
    <xf numFmtId="165" fontId="11" fillId="0" borderId="0" xfId="1" applyNumberFormat="1" applyFont="1"/>
    <xf numFmtId="2" fontId="0" fillId="0" borderId="0" xfId="0" applyNumberFormat="1"/>
    <xf numFmtId="0" fontId="2" fillId="0" borderId="0" xfId="0" applyFont="1"/>
    <xf numFmtId="3" fontId="0" fillId="2" borderId="0" xfId="0" applyNumberFormat="1" applyFill="1"/>
    <xf numFmtId="165" fontId="0" fillId="2" borderId="0" xfId="1" applyNumberFormat="1" applyFont="1" applyFill="1"/>
    <xf numFmtId="0" fontId="10" fillId="0" borderId="0" xfId="0" applyFont="1"/>
    <xf numFmtId="0" fontId="4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9" fillId="0" borderId="17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9" fontId="6" fillId="3" borderId="0" xfId="2" applyFont="1" applyFill="1" applyBorder="1"/>
    <xf numFmtId="164" fontId="3" fillId="3" borderId="20" xfId="0" applyNumberFormat="1" applyFont="1" applyFill="1" applyBorder="1"/>
    <xf numFmtId="1" fontId="0" fillId="2" borderId="0" xfId="0" applyNumberFormat="1" applyFill="1"/>
    <xf numFmtId="165" fontId="0" fillId="3" borderId="0" xfId="0" applyNumberFormat="1" applyFill="1"/>
    <xf numFmtId="2" fontId="6" fillId="3" borderId="11" xfId="0" applyNumberFormat="1" applyFont="1" applyFill="1" applyBorder="1"/>
    <xf numFmtId="3" fontId="9" fillId="2" borderId="21" xfId="0" applyNumberFormat="1" applyFont="1" applyFill="1" applyBorder="1"/>
    <xf numFmtId="3" fontId="9" fillId="2" borderId="23" xfId="0" applyNumberFormat="1" applyFont="1" applyFill="1" applyBorder="1"/>
    <xf numFmtId="3" fontId="9" fillId="2" borderId="3" xfId="0" applyNumberFormat="1" applyFont="1" applyFill="1" applyBorder="1"/>
    <xf numFmtId="9" fontId="0" fillId="3" borderId="0" xfId="2" applyFont="1" applyFill="1"/>
    <xf numFmtId="0" fontId="4" fillId="0" borderId="2" xfId="0" applyFont="1" applyFill="1" applyBorder="1" applyAlignment="1">
      <alignment wrapText="1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4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16" xfId="0" applyFill="1" applyBorder="1"/>
    <xf numFmtId="0" fontId="0" fillId="0" borderId="18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12" xfId="0" applyFill="1" applyBorder="1"/>
    <xf numFmtId="0" fontId="2" fillId="0" borderId="1" xfId="0" applyFont="1" applyFill="1" applyBorder="1"/>
    <xf numFmtId="0" fontId="0" fillId="0" borderId="1" xfId="0" applyFill="1" applyBorder="1"/>
    <xf numFmtId="0" fontId="5" fillId="0" borderId="1" xfId="0" applyFont="1" applyFill="1" applyBorder="1"/>
    <xf numFmtId="3" fontId="4" fillId="0" borderId="2" xfId="6" applyNumberFormat="1" applyFont="1" applyFill="1" applyBorder="1" applyAlignment="1">
      <alignment horizontal="left" vertical="center" wrapText="1" indent="2"/>
    </xf>
    <xf numFmtId="0" fontId="0" fillId="0" borderId="6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wrapText="1"/>
    </xf>
    <xf numFmtId="9" fontId="6" fillId="0" borderId="0" xfId="2" applyNumberFormat="1" applyFont="1"/>
    <xf numFmtId="168" fontId="6" fillId="3" borderId="11" xfId="0" applyNumberFormat="1" applyFont="1" applyFill="1" applyBorder="1"/>
    <xf numFmtId="9" fontId="6" fillId="3" borderId="11" xfId="2" applyFont="1" applyFill="1" applyBorder="1"/>
    <xf numFmtId="9" fontId="6" fillId="3" borderId="9" xfId="2" applyFont="1" applyFill="1" applyBorder="1"/>
    <xf numFmtId="9" fontId="6" fillId="3" borderId="10" xfId="2" applyFont="1" applyFill="1" applyBorder="1"/>
    <xf numFmtId="9" fontId="6" fillId="3" borderId="8" xfId="2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Fill="1" applyBorder="1"/>
    <xf numFmtId="164" fontId="6" fillId="3" borderId="3" xfId="1" applyFont="1" applyFill="1" applyBorder="1"/>
    <xf numFmtId="164" fontId="6" fillId="0" borderId="3" xfId="1" applyFont="1" applyFill="1" applyBorder="1"/>
    <xf numFmtId="164" fontId="6" fillId="0" borderId="21" xfId="0" applyNumberFormat="1" applyFont="1" applyFill="1" applyBorder="1"/>
    <xf numFmtId="164" fontId="6" fillId="0" borderId="18" xfId="0" applyNumberFormat="1" applyFont="1" applyFill="1" applyBorder="1"/>
    <xf numFmtId="164" fontId="6" fillId="3" borderId="20" xfId="0" applyNumberFormat="1" applyFont="1" applyFill="1" applyBorder="1"/>
    <xf numFmtId="164" fontId="3" fillId="3" borderId="24" xfId="1" applyFont="1" applyFill="1" applyBorder="1"/>
    <xf numFmtId="164" fontId="3" fillId="3" borderId="4" xfId="1" applyFont="1" applyFill="1" applyBorder="1"/>
    <xf numFmtId="0" fontId="3" fillId="3" borderId="22" xfId="0" applyFont="1" applyFill="1" applyBorder="1"/>
    <xf numFmtId="9" fontId="11" fillId="0" borderId="0" xfId="2" applyFont="1"/>
    <xf numFmtId="0" fontId="12" fillId="0" borderId="0" xfId="0" applyFont="1" applyAlignment="1">
      <alignment vertical="center"/>
    </xf>
    <xf numFmtId="10" fontId="0" fillId="0" borderId="0" xfId="2" applyNumberFormat="1" applyFont="1"/>
    <xf numFmtId="10" fontId="13" fillId="5" borderId="3" xfId="2" applyNumberFormat="1" applyFont="1" applyFill="1" applyBorder="1"/>
    <xf numFmtId="10" fontId="13" fillId="4" borderId="3" xfId="2" applyNumberFormat="1" applyFont="1" applyFill="1" applyBorder="1"/>
    <xf numFmtId="164" fontId="13" fillId="3" borderId="0" xfId="0" applyNumberFormat="1" applyFont="1" applyFill="1"/>
    <xf numFmtId="164" fontId="8" fillId="3" borderId="0" xfId="0" applyNumberFormat="1" applyFont="1" applyFill="1"/>
    <xf numFmtId="0" fontId="8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164" fontId="13" fillId="0" borderId="0" xfId="0" applyNumberFormat="1" applyFont="1"/>
    <xf numFmtId="0" fontId="13" fillId="0" borderId="0" xfId="0" applyFont="1" applyFill="1" applyAlignment="1">
      <alignment wrapText="1"/>
    </xf>
    <xf numFmtId="164" fontId="13" fillId="3" borderId="0" xfId="1" applyFont="1" applyFill="1"/>
    <xf numFmtId="165" fontId="13" fillId="3" borderId="0" xfId="1" applyNumberFormat="1" applyFont="1" applyFill="1"/>
    <xf numFmtId="165" fontId="13" fillId="0" borderId="0" xfId="0" applyNumberFormat="1" applyFont="1"/>
    <xf numFmtId="0" fontId="8" fillId="0" borderId="0" xfId="0" applyFont="1" applyFill="1"/>
    <xf numFmtId="0" fontId="6" fillId="0" borderId="2" xfId="0" applyFont="1" applyFill="1" applyBorder="1" applyAlignment="1">
      <alignment wrapText="1"/>
    </xf>
    <xf numFmtId="3" fontId="10" fillId="0" borderId="0" xfId="6" applyNumberFormat="1" applyFont="1" applyBorder="1" applyAlignment="1">
      <alignment vertical="center"/>
    </xf>
    <xf numFmtId="0" fontId="0" fillId="0" borderId="13" xfId="0" applyBorder="1"/>
    <xf numFmtId="0" fontId="2" fillId="4" borderId="0" xfId="0" applyFont="1" applyFill="1"/>
    <xf numFmtId="164" fontId="0" fillId="4" borderId="0" xfId="1" applyFont="1" applyFill="1"/>
    <xf numFmtId="164" fontId="0" fillId="3" borderId="27" xfId="0" applyNumberFormat="1" applyFill="1" applyBorder="1"/>
    <xf numFmtId="165" fontId="0" fillId="3" borderId="0" xfId="1" applyNumberFormat="1" applyFont="1" applyFill="1"/>
    <xf numFmtId="0" fontId="0" fillId="0" borderId="0" xfId="0" applyAlignment="1">
      <alignment horizontal="center" wrapText="1"/>
    </xf>
    <xf numFmtId="165" fontId="0" fillId="2" borderId="0" xfId="0" applyNumberFormat="1" applyFill="1"/>
    <xf numFmtId="165" fontId="13" fillId="3" borderId="0" xfId="0" applyNumberFormat="1" applyFont="1" applyFill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0" fillId="0" borderId="0" xfId="1" applyNumberFormat="1" applyFont="1" applyAlignment="1">
      <alignment horizontal="center"/>
    </xf>
    <xf numFmtId="37" fontId="0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" xfId="3" xr:uid="{72712E6D-45B8-40FD-A3D6-C638D7252A96}"/>
    <cellStyle name="Normal 2 2" xfId="6" xr:uid="{F8D0ECEA-911D-497D-9938-C00D4B3DD267}"/>
    <cellStyle name="Normal 4" xfId="4" xr:uid="{0D57988A-A142-41A4-A323-0B5682DF93F7}"/>
    <cellStyle name="Per cent" xfId="2" builtinId="5"/>
    <cellStyle name="Smart Percent" xfId="5" xr:uid="{1D21E0E8-0111-4A7A-960C-8E9B5D5B0E68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xana Ionela Cirjan" id="{3966F555-9D58-4ECD-8093-929D00BCEBF5}" userId="S::roxana.cirjan@ancom.ro::15356358-0656-4cdb-ac72-4b1edf30d6f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20" dT="2021-07-07T12:39:16.86" personId="{3966F555-9D58-4ECD-8093-929D00BCEBF5}" id="{542C5048-4D37-4C40-9F60-98111F7D7A72}">
    <text>https://www2.deloitte.com/global/en/pages/energy-and-resources/articles/european-power-utilities-newsletter.html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FCC-7859-41D5-B6CC-DEDCC8AB0224}">
  <dimension ref="B2:Y8"/>
  <sheetViews>
    <sheetView workbookViewId="0">
      <selection activeCell="E3" sqref="E3:Y3"/>
    </sheetView>
  </sheetViews>
  <sheetFormatPr defaultRowHeight="15"/>
  <cols>
    <col min="1" max="1" width="3.140625" customWidth="1"/>
    <col min="2" max="2" width="13.7109375" bestFit="1" customWidth="1"/>
    <col min="3" max="3" width="19.85546875" bestFit="1" customWidth="1"/>
    <col min="4" max="4" width="3.140625" customWidth="1"/>
  </cols>
  <sheetData>
    <row r="2" spans="2:25" s="19" customFormat="1">
      <c r="B2" s="19" t="s">
        <v>0</v>
      </c>
      <c r="C2" s="19" t="s">
        <v>1</v>
      </c>
    </row>
    <row r="3" spans="2:25" ht="58.5" customHeight="1">
      <c r="B3" s="13"/>
      <c r="C3" t="s">
        <v>2</v>
      </c>
      <c r="E3" s="104" t="s">
        <v>3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2:25" ht="46.5" customHeight="1">
      <c r="B4" s="27"/>
      <c r="C4" t="s">
        <v>4</v>
      </c>
    </row>
    <row r="5" spans="2:25" ht="57" customHeight="1">
      <c r="B5" s="26"/>
      <c r="C5" t="s">
        <v>5</v>
      </c>
    </row>
    <row r="8" spans="2:25">
      <c r="B8" s="28"/>
      <c r="C8" t="s">
        <v>6</v>
      </c>
    </row>
  </sheetData>
  <mergeCells count="1">
    <mergeCell ref="E3:Y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49E-70C0-40D6-8FE0-98E546C31837}">
  <dimension ref="A1:T129"/>
  <sheetViews>
    <sheetView tabSelected="1" topLeftCell="A39" workbookViewId="0">
      <selection activeCell="C61" sqref="C61"/>
    </sheetView>
  </sheetViews>
  <sheetFormatPr defaultRowHeight="15"/>
  <cols>
    <col min="1" max="1" width="30" customWidth="1"/>
    <col min="2" max="2" width="6.140625" customWidth="1"/>
    <col min="3" max="3" width="17.7109375" customWidth="1"/>
    <col min="4" max="4" width="11.140625" customWidth="1"/>
    <col min="5" max="5" width="12.28515625" customWidth="1"/>
    <col min="6" max="6" width="12.42578125" customWidth="1"/>
    <col min="7" max="7" width="13" customWidth="1"/>
    <col min="8" max="9" width="12.7109375" customWidth="1"/>
    <col min="10" max="10" width="14.7109375" style="84" customWidth="1"/>
    <col min="13" max="13" width="19.85546875" bestFit="1" customWidth="1"/>
    <col min="15" max="15" width="9.42578125" bestFit="1" customWidth="1"/>
    <col min="16" max="16" width="10.7109375" customWidth="1"/>
  </cols>
  <sheetData>
    <row r="1" spans="1:20">
      <c r="A1" s="1" t="s">
        <v>7</v>
      </c>
    </row>
    <row r="3" spans="1:20" ht="15.75" thickBot="1">
      <c r="A3" s="1" t="s">
        <v>8</v>
      </c>
    </row>
    <row r="4" spans="1:20" ht="45.75" thickBot="1">
      <c r="A4" s="1" t="s">
        <v>9</v>
      </c>
      <c r="C4" s="103" t="s">
        <v>10</v>
      </c>
      <c r="D4" s="103" t="s">
        <v>11</v>
      </c>
      <c r="E4" s="103" t="s">
        <v>12</v>
      </c>
      <c r="F4" s="103" t="s">
        <v>13</v>
      </c>
      <c r="G4" s="103" t="s">
        <v>14</v>
      </c>
      <c r="H4" s="103" t="s">
        <v>15</v>
      </c>
      <c r="I4" s="103" t="s">
        <v>16</v>
      </c>
      <c r="J4" s="85" t="s">
        <v>17</v>
      </c>
      <c r="O4" s="106" t="s">
        <v>10</v>
      </c>
      <c r="P4" s="107"/>
      <c r="Q4" s="108"/>
    </row>
    <row r="5" spans="1:20" ht="15.75" thickBot="1">
      <c r="A5" t="s">
        <v>18</v>
      </c>
      <c r="C5" s="20">
        <f>Q6</f>
        <v>50000</v>
      </c>
      <c r="D5" s="20">
        <v>50000</v>
      </c>
      <c r="E5" s="20">
        <v>50000</v>
      </c>
      <c r="F5" s="20">
        <f t="shared" ref="F5:H5" si="0">T6</f>
        <v>0</v>
      </c>
      <c r="G5" s="20">
        <f t="shared" si="0"/>
        <v>0</v>
      </c>
      <c r="H5" s="20">
        <f t="shared" si="0"/>
        <v>0</v>
      </c>
      <c r="I5" s="20">
        <v>1</v>
      </c>
      <c r="J5" s="102">
        <f>AVERAGE(C5:I5)</f>
        <v>21428.714285714286</v>
      </c>
      <c r="O5" s="10" t="s">
        <v>19</v>
      </c>
      <c r="P5" s="11" t="s">
        <v>20</v>
      </c>
      <c r="Q5" s="12" t="s">
        <v>21</v>
      </c>
    </row>
    <row r="6" spans="1:20">
      <c r="J6" s="86"/>
      <c r="N6" s="6"/>
      <c r="O6" s="35">
        <v>500</v>
      </c>
      <c r="P6" s="36">
        <v>1000</v>
      </c>
      <c r="Q6" s="34">
        <v>50000</v>
      </c>
      <c r="S6" s="19"/>
      <c r="T6" s="19"/>
    </row>
    <row r="7" spans="1:20" ht="45">
      <c r="A7" s="1" t="s">
        <v>22</v>
      </c>
      <c r="C7" s="103" t="s">
        <v>10</v>
      </c>
      <c r="D7" s="103" t="s">
        <v>11</v>
      </c>
      <c r="E7" s="103" t="s">
        <v>12</v>
      </c>
      <c r="F7" s="103" t="s">
        <v>13</v>
      </c>
      <c r="G7" s="103" t="s">
        <v>14</v>
      </c>
      <c r="H7" s="103" t="s">
        <v>15</v>
      </c>
      <c r="I7" s="103" t="s">
        <v>16</v>
      </c>
      <c r="J7" s="85" t="s">
        <v>17</v>
      </c>
      <c r="M7" s="8"/>
      <c r="N7" s="6"/>
      <c r="O7" s="35">
        <v>500</v>
      </c>
      <c r="P7" s="36">
        <v>1000</v>
      </c>
      <c r="Q7" s="4"/>
      <c r="S7" s="19"/>
      <c r="T7" s="19"/>
    </row>
    <row r="8" spans="1:20">
      <c r="A8" t="s">
        <v>18</v>
      </c>
      <c r="C8" s="101">
        <f>$P$39</f>
        <v>1000</v>
      </c>
      <c r="D8" s="101">
        <f t="shared" ref="D8:E8" si="1">$P$39</f>
        <v>1000</v>
      </c>
      <c r="E8" s="101">
        <f t="shared" si="1"/>
        <v>1000</v>
      </c>
      <c r="F8" s="20">
        <v>1000</v>
      </c>
      <c r="G8" s="20">
        <v>1000</v>
      </c>
      <c r="H8" s="20">
        <v>1000</v>
      </c>
      <c r="I8" s="21">
        <v>1000</v>
      </c>
      <c r="J8" s="102">
        <f>AVERAGE(C8:I8)</f>
        <v>1000</v>
      </c>
      <c r="M8" s="8"/>
      <c r="N8" s="6"/>
      <c r="O8" s="35">
        <v>500</v>
      </c>
      <c r="P8" s="36">
        <v>1000</v>
      </c>
      <c r="Q8" s="4"/>
      <c r="S8" s="19"/>
      <c r="T8" s="19"/>
    </row>
    <row r="9" spans="1:20">
      <c r="J9" s="86"/>
      <c r="M9" s="8"/>
      <c r="N9" s="6"/>
      <c r="O9" s="35">
        <v>500</v>
      </c>
      <c r="P9" s="36">
        <v>1000</v>
      </c>
      <c r="Q9" s="4"/>
      <c r="S9" s="19"/>
      <c r="T9" s="19"/>
    </row>
    <row r="10" spans="1:20" ht="45">
      <c r="A10" s="1" t="s">
        <v>23</v>
      </c>
      <c r="C10" s="103" t="s">
        <v>10</v>
      </c>
      <c r="D10" s="103" t="s">
        <v>11</v>
      </c>
      <c r="E10" s="103" t="s">
        <v>12</v>
      </c>
      <c r="F10" s="103" t="s">
        <v>13</v>
      </c>
      <c r="G10" s="103" t="s">
        <v>14</v>
      </c>
      <c r="H10" s="103" t="s">
        <v>15</v>
      </c>
      <c r="I10" s="103" t="s">
        <v>16</v>
      </c>
      <c r="J10" s="85" t="s">
        <v>17</v>
      </c>
      <c r="M10" s="8"/>
      <c r="N10" s="6"/>
      <c r="O10" s="35">
        <v>500</v>
      </c>
      <c r="P10" s="36">
        <v>1000</v>
      </c>
      <c r="Q10" s="4"/>
      <c r="S10" s="19"/>
      <c r="T10" s="19"/>
    </row>
    <row r="11" spans="1:20">
      <c r="A11" t="s">
        <v>18</v>
      </c>
      <c r="C11" s="101">
        <v>2000</v>
      </c>
      <c r="D11" s="101">
        <v>2000</v>
      </c>
      <c r="E11" s="101">
        <v>2000</v>
      </c>
      <c r="F11" s="101">
        <v>2000</v>
      </c>
      <c r="G11" s="101">
        <v>2000</v>
      </c>
      <c r="H11" s="101">
        <v>2000</v>
      </c>
      <c r="I11" s="101">
        <v>2000</v>
      </c>
      <c r="J11" s="82">
        <f>AVERAGE(C11:I11)</f>
        <v>2000</v>
      </c>
      <c r="M11" s="8"/>
      <c r="N11" s="6"/>
      <c r="O11" s="35">
        <v>500</v>
      </c>
      <c r="P11" s="36">
        <v>1000</v>
      </c>
      <c r="Q11" s="4"/>
      <c r="S11" s="1"/>
      <c r="T11" s="1"/>
    </row>
    <row r="12" spans="1:20">
      <c r="J12" s="86"/>
      <c r="M12" s="8"/>
      <c r="N12" s="6"/>
      <c r="O12" s="35">
        <v>500</v>
      </c>
      <c r="P12" s="36">
        <v>1000</v>
      </c>
      <c r="Q12" s="4"/>
      <c r="S12" s="19"/>
      <c r="T12" s="19"/>
    </row>
    <row r="13" spans="1:20">
      <c r="C13" s="5"/>
      <c r="D13" s="5"/>
      <c r="E13" s="5"/>
      <c r="F13" s="5"/>
      <c r="G13" s="5"/>
      <c r="H13" s="5"/>
      <c r="I13" s="5"/>
      <c r="J13" s="87"/>
      <c r="M13" s="8"/>
      <c r="N13" s="6"/>
      <c r="O13" s="35">
        <v>500</v>
      </c>
      <c r="P13" s="36">
        <v>1000</v>
      </c>
      <c r="Q13" s="4"/>
      <c r="S13" s="19"/>
      <c r="T13" s="19"/>
    </row>
    <row r="14" spans="1:20">
      <c r="A14" s="1" t="s">
        <v>24</v>
      </c>
      <c r="J14" s="86"/>
      <c r="M14" s="8"/>
      <c r="N14" s="6"/>
      <c r="O14" s="35">
        <v>500</v>
      </c>
      <c r="P14" s="36">
        <v>1000</v>
      </c>
      <c r="Q14" s="4"/>
      <c r="S14" s="19"/>
      <c r="T14" s="19"/>
    </row>
    <row r="15" spans="1:20" ht="15.75" thickBot="1">
      <c r="J15" s="86"/>
      <c r="M15" s="8"/>
      <c r="N15" s="6"/>
      <c r="O15" s="35">
        <v>500</v>
      </c>
      <c r="P15" s="36">
        <v>1000</v>
      </c>
      <c r="Q15" s="4"/>
      <c r="S15" s="19"/>
      <c r="T15" s="19"/>
    </row>
    <row r="16" spans="1:20" ht="45.75" thickBot="1">
      <c r="A16" s="38" t="s">
        <v>25</v>
      </c>
      <c r="C16" s="42" t="s">
        <v>26</v>
      </c>
      <c r="M16" s="8"/>
      <c r="N16" s="6"/>
      <c r="O16" s="35">
        <v>500</v>
      </c>
      <c r="P16" s="36">
        <v>1000</v>
      </c>
      <c r="Q16" s="4"/>
      <c r="S16" s="19"/>
      <c r="T16" s="19"/>
    </row>
    <row r="17" spans="1:20">
      <c r="A17" s="39" t="s">
        <v>27</v>
      </c>
      <c r="C17" s="80">
        <v>2.5000000000000001E-2</v>
      </c>
      <c r="M17" s="8"/>
      <c r="N17" s="6"/>
      <c r="O17" s="35">
        <v>500</v>
      </c>
      <c r="P17" s="36">
        <v>1000</v>
      </c>
      <c r="Q17" s="4"/>
      <c r="S17" s="1"/>
      <c r="T17" s="1"/>
    </row>
    <row r="18" spans="1:20">
      <c r="A18" s="40" t="s">
        <v>28</v>
      </c>
      <c r="C18" s="80">
        <v>2.5000000000000001E-2</v>
      </c>
      <c r="J18" s="86"/>
      <c r="M18" s="8"/>
      <c r="N18" s="6"/>
      <c r="O18" s="35">
        <v>500</v>
      </c>
      <c r="P18" s="36">
        <v>1000</v>
      </c>
      <c r="Q18" s="4"/>
      <c r="S18" s="1"/>
      <c r="T18" s="1"/>
    </row>
    <row r="19" spans="1:20" ht="15.75" thickBot="1">
      <c r="A19" s="41" t="s">
        <v>29</v>
      </c>
      <c r="C19" s="81">
        <v>2.5000000000000001E-2</v>
      </c>
      <c r="D19" s="8" t="s">
        <v>30</v>
      </c>
      <c r="G19" s="5"/>
      <c r="H19" s="5"/>
      <c r="I19" s="5"/>
      <c r="J19" s="87"/>
      <c r="M19" s="8"/>
      <c r="N19" s="6"/>
      <c r="O19" s="35">
        <v>500</v>
      </c>
      <c r="P19" s="36">
        <v>1000</v>
      </c>
      <c r="Q19" s="4"/>
      <c r="S19" s="1"/>
      <c r="T19" s="1"/>
    </row>
    <row r="20" spans="1:20">
      <c r="A20" s="23"/>
      <c r="B20" s="14"/>
      <c r="C20" s="24"/>
      <c r="M20" s="8"/>
      <c r="N20" s="6"/>
      <c r="O20" s="35">
        <v>500</v>
      </c>
      <c r="P20" s="36">
        <v>1000</v>
      </c>
      <c r="Q20" s="4"/>
    </row>
    <row r="21" spans="1:20">
      <c r="M21" s="8"/>
      <c r="N21" s="6"/>
      <c r="O21" s="35">
        <v>500</v>
      </c>
      <c r="P21" s="36">
        <v>1000</v>
      </c>
      <c r="Q21" s="4"/>
    </row>
    <row r="22" spans="1:20">
      <c r="A22" s="1" t="s">
        <v>31</v>
      </c>
      <c r="M22" s="8"/>
      <c r="N22" s="6"/>
      <c r="O22" s="25"/>
      <c r="P22" s="36">
        <v>1000</v>
      </c>
      <c r="Q22" s="4"/>
    </row>
    <row r="23" spans="1:20">
      <c r="C23" s="43" t="s">
        <v>21</v>
      </c>
      <c r="D23" s="43" t="s">
        <v>20</v>
      </c>
      <c r="E23" s="43" t="s">
        <v>19</v>
      </c>
      <c r="M23" s="8"/>
      <c r="N23" s="6"/>
      <c r="O23" s="25"/>
      <c r="P23" s="36">
        <v>1000</v>
      </c>
      <c r="Q23" s="4"/>
    </row>
    <row r="24" spans="1:20">
      <c r="A24" t="s">
        <v>32</v>
      </c>
      <c r="C24" s="5">
        <f>J5*C17</f>
        <v>535.71785714285716</v>
      </c>
      <c r="D24" s="5">
        <f>J8*C18</f>
        <v>25</v>
      </c>
      <c r="E24" s="83">
        <f>C19*J11</f>
        <v>50</v>
      </c>
      <c r="M24" s="8"/>
      <c r="N24" s="6"/>
      <c r="O24" s="25"/>
      <c r="P24" s="36">
        <v>1000</v>
      </c>
      <c r="Q24" s="4"/>
    </row>
    <row r="25" spans="1:20">
      <c r="M25" s="8"/>
      <c r="N25" s="6"/>
      <c r="O25" s="25"/>
      <c r="P25" s="36">
        <v>1000</v>
      </c>
      <c r="Q25" s="4"/>
    </row>
    <row r="26" spans="1:20">
      <c r="M26" s="8"/>
      <c r="N26" s="6"/>
      <c r="O26" s="25"/>
      <c r="P26" s="36">
        <v>1000</v>
      </c>
      <c r="Q26" s="4"/>
    </row>
    <row r="27" spans="1:20">
      <c r="A27" s="1" t="s">
        <v>33</v>
      </c>
      <c r="M27" s="8"/>
      <c r="N27" s="6"/>
      <c r="O27" s="25"/>
      <c r="P27" s="36">
        <v>1000</v>
      </c>
      <c r="Q27" s="4"/>
    </row>
    <row r="28" spans="1:20" ht="90">
      <c r="C28" s="103" t="s">
        <v>10</v>
      </c>
      <c r="D28" s="103" t="s">
        <v>11</v>
      </c>
      <c r="E28" s="103" t="s">
        <v>12</v>
      </c>
      <c r="F28" s="103" t="s">
        <v>13</v>
      </c>
      <c r="G28" s="103" t="s">
        <v>14</v>
      </c>
      <c r="H28" s="103" t="s">
        <v>15</v>
      </c>
      <c r="I28" s="103" t="s">
        <v>16</v>
      </c>
      <c r="J28" s="88" t="s">
        <v>34</v>
      </c>
      <c r="M28" s="8"/>
      <c r="N28" s="6"/>
      <c r="O28" s="25"/>
      <c r="P28" s="36">
        <v>1000</v>
      </c>
      <c r="Q28" s="4"/>
    </row>
    <row r="29" spans="1:20">
      <c r="A29" t="s">
        <v>21</v>
      </c>
      <c r="F29" s="13">
        <v>1</v>
      </c>
      <c r="G29" s="13">
        <v>1</v>
      </c>
      <c r="H29" s="13">
        <v>1</v>
      </c>
      <c r="I29" s="13">
        <v>1</v>
      </c>
      <c r="J29" s="89">
        <f>SUM(F61:I61)/SUM(F54:I54)</f>
        <v>1</v>
      </c>
      <c r="K29" s="103"/>
      <c r="M29" s="8"/>
      <c r="N29" s="6"/>
      <c r="O29" s="25"/>
      <c r="P29" s="36">
        <v>1000</v>
      </c>
      <c r="Q29" s="4"/>
    </row>
    <row r="30" spans="1:20">
      <c r="A30" t="s">
        <v>20</v>
      </c>
      <c r="F30" s="13">
        <v>1</v>
      </c>
      <c r="G30" s="13">
        <v>1</v>
      </c>
      <c r="H30" s="13">
        <v>1</v>
      </c>
      <c r="I30" s="13">
        <v>1</v>
      </c>
      <c r="J30" s="89">
        <f t="shared" ref="J30:J31" si="2">SUM(F62:I62)/SUM(F55:I55)</f>
        <v>1</v>
      </c>
      <c r="K30" s="103"/>
      <c r="M30" s="8"/>
      <c r="N30" s="6"/>
      <c r="O30" s="25"/>
      <c r="P30" s="36">
        <v>1000</v>
      </c>
      <c r="Q30" s="4"/>
    </row>
    <row r="31" spans="1:20">
      <c r="A31" t="s">
        <v>19</v>
      </c>
      <c r="F31" s="13">
        <v>2</v>
      </c>
      <c r="G31" s="13">
        <v>2</v>
      </c>
      <c r="H31" s="13">
        <v>2</v>
      </c>
      <c r="I31" s="13">
        <v>2</v>
      </c>
      <c r="J31" s="89">
        <f t="shared" si="2"/>
        <v>2</v>
      </c>
      <c r="K31" s="103"/>
      <c r="M31" s="8"/>
      <c r="N31" s="6"/>
      <c r="O31" s="25"/>
      <c r="P31" s="36">
        <v>1000</v>
      </c>
      <c r="Q31" s="4"/>
    </row>
    <row r="32" spans="1:20">
      <c r="K32" s="103"/>
      <c r="M32" s="8"/>
      <c r="N32" s="6"/>
      <c r="O32" s="25"/>
      <c r="P32" s="36">
        <v>1000</v>
      </c>
      <c r="Q32" s="4"/>
    </row>
    <row r="33" spans="1:17">
      <c r="A33" s="1" t="s">
        <v>35</v>
      </c>
      <c r="K33" s="103"/>
      <c r="M33" s="8"/>
      <c r="N33" s="6"/>
      <c r="O33" s="25"/>
      <c r="P33" s="36"/>
      <c r="Q33" s="4"/>
    </row>
    <row r="34" spans="1:17">
      <c r="A34" t="s">
        <v>21</v>
      </c>
      <c r="F34" s="13">
        <v>5</v>
      </c>
      <c r="G34" s="13">
        <v>5</v>
      </c>
      <c r="H34" s="13">
        <v>5</v>
      </c>
      <c r="I34" s="13">
        <v>5</v>
      </c>
      <c r="J34" s="89">
        <f>(F34*F54+G34*G54+H34*H54+I34*I54)/SUM(F54:I54)</f>
        <v>5</v>
      </c>
      <c r="K34" s="103"/>
      <c r="M34" s="8"/>
      <c r="N34" s="6"/>
      <c r="O34" s="25"/>
      <c r="P34" s="36"/>
      <c r="Q34" s="4"/>
    </row>
    <row r="35" spans="1:17">
      <c r="A35" t="s">
        <v>20</v>
      </c>
      <c r="F35" s="13">
        <v>2</v>
      </c>
      <c r="G35" s="13">
        <v>2</v>
      </c>
      <c r="H35" s="13">
        <v>2</v>
      </c>
      <c r="I35" s="13">
        <v>2</v>
      </c>
      <c r="J35" s="89">
        <f t="shared" ref="J35:J36" si="3">(F35*F55+G35*G55+H35*H55+I35*I55)/SUM(F55:I55)</f>
        <v>2</v>
      </c>
      <c r="K35" s="103"/>
      <c r="M35" s="8"/>
      <c r="N35" s="6"/>
      <c r="O35" s="25"/>
      <c r="P35" s="36"/>
      <c r="Q35" s="4"/>
    </row>
    <row r="36" spans="1:17">
      <c r="A36" t="s">
        <v>19</v>
      </c>
      <c r="F36" s="13">
        <v>1</v>
      </c>
      <c r="G36" s="13">
        <v>1</v>
      </c>
      <c r="H36" s="13">
        <v>1</v>
      </c>
      <c r="I36" s="13">
        <v>1</v>
      </c>
      <c r="J36" s="89">
        <f t="shared" si="3"/>
        <v>1</v>
      </c>
      <c r="K36" s="103"/>
      <c r="M36" s="8"/>
      <c r="N36" s="6"/>
      <c r="O36" s="25"/>
      <c r="P36" s="36"/>
      <c r="Q36" s="4"/>
    </row>
    <row r="37" spans="1:17">
      <c r="K37" s="103"/>
      <c r="M37" s="8"/>
      <c r="N37" s="6"/>
      <c r="O37" s="25"/>
      <c r="P37" s="36"/>
      <c r="Q37" s="4"/>
    </row>
    <row r="38" spans="1:17" ht="15.75" thickBot="1">
      <c r="A38" s="14"/>
      <c r="B38" s="14"/>
      <c r="C38" s="14"/>
      <c r="M38" s="8"/>
      <c r="N38" s="6"/>
      <c r="O38" s="25"/>
      <c r="P38" s="36">
        <v>1000</v>
      </c>
      <c r="Q38" s="4"/>
    </row>
    <row r="39" spans="1:17" ht="15.75" thickBot="1">
      <c r="A39" s="1" t="s">
        <v>36</v>
      </c>
      <c r="M39" s="1"/>
      <c r="N39" s="6"/>
      <c r="O39" s="74">
        <f>AVERAGE(O6:O21)</f>
        <v>500</v>
      </c>
      <c r="P39" s="75">
        <f>AVERAGE(P6:P38)</f>
        <v>1000</v>
      </c>
      <c r="Q39" s="76">
        <f>AVERAGE(Q6)</f>
        <v>50000</v>
      </c>
    </row>
    <row r="40" spans="1:17" ht="45">
      <c r="C40" s="103" t="s">
        <v>10</v>
      </c>
      <c r="D40" s="103" t="s">
        <v>11</v>
      </c>
      <c r="E40" s="103" t="s">
        <v>12</v>
      </c>
      <c r="F40" s="103" t="s">
        <v>13</v>
      </c>
      <c r="G40" s="103" t="s">
        <v>14</v>
      </c>
      <c r="H40" s="103" t="s">
        <v>15</v>
      </c>
      <c r="I40" s="103" t="s">
        <v>16</v>
      </c>
      <c r="J40" s="85" t="s">
        <v>37</v>
      </c>
    </row>
    <row r="41" spans="1:17">
      <c r="A41" t="s">
        <v>21</v>
      </c>
      <c r="C41" s="21">
        <v>5000</v>
      </c>
      <c r="D41" s="21">
        <v>5000</v>
      </c>
      <c r="E41" s="21">
        <v>5000</v>
      </c>
      <c r="F41" s="21">
        <v>5000</v>
      </c>
      <c r="G41" s="21">
        <v>5000</v>
      </c>
      <c r="H41" s="21">
        <v>5000</v>
      </c>
      <c r="I41" s="21">
        <v>5000</v>
      </c>
      <c r="J41" s="90">
        <f>SUM(C41:I41)</f>
        <v>35000</v>
      </c>
    </row>
    <row r="42" spans="1:17">
      <c r="A42" t="s">
        <v>20</v>
      </c>
      <c r="F42" s="21">
        <v>50000</v>
      </c>
      <c r="G42" s="21">
        <v>50000</v>
      </c>
      <c r="H42" s="21">
        <v>50000</v>
      </c>
      <c r="I42" s="21">
        <v>50000</v>
      </c>
      <c r="J42" s="90">
        <f t="shared" ref="J42:J43" si="4">SUM(C42:I42)</f>
        <v>200000</v>
      </c>
    </row>
    <row r="43" spans="1:17">
      <c r="A43" t="s">
        <v>19</v>
      </c>
      <c r="C43" s="21">
        <v>500000</v>
      </c>
      <c r="D43" s="21">
        <v>500000</v>
      </c>
      <c r="E43" s="21">
        <v>500000</v>
      </c>
      <c r="F43" s="21">
        <v>500000</v>
      </c>
      <c r="G43" s="21">
        <v>500000</v>
      </c>
      <c r="H43" s="21">
        <v>500000</v>
      </c>
      <c r="I43" s="21">
        <v>500000</v>
      </c>
      <c r="J43" s="90">
        <f t="shared" si="4"/>
        <v>3500000</v>
      </c>
    </row>
    <row r="46" spans="1:17">
      <c r="A46" s="1" t="s">
        <v>38</v>
      </c>
    </row>
    <row r="47" spans="1:17">
      <c r="A47" t="s">
        <v>21</v>
      </c>
      <c r="C47" s="31">
        <v>10</v>
      </c>
      <c r="D47" s="31">
        <v>10</v>
      </c>
      <c r="E47" s="31">
        <v>10</v>
      </c>
      <c r="F47" s="31">
        <v>10</v>
      </c>
      <c r="G47" s="31">
        <v>10</v>
      </c>
      <c r="H47" s="31">
        <v>10</v>
      </c>
      <c r="I47" s="31">
        <v>10</v>
      </c>
    </row>
    <row r="48" spans="1:17">
      <c r="A48" t="s">
        <v>20</v>
      </c>
      <c r="C48" t="s">
        <v>39</v>
      </c>
      <c r="D48" t="s">
        <v>39</v>
      </c>
      <c r="E48" t="s">
        <v>39</v>
      </c>
      <c r="F48" s="13">
        <v>20</v>
      </c>
      <c r="G48" s="13">
        <v>20</v>
      </c>
      <c r="H48" s="13">
        <v>20</v>
      </c>
      <c r="I48" s="13">
        <v>20</v>
      </c>
    </row>
    <row r="49" spans="1:11">
      <c r="A49" t="s">
        <v>19</v>
      </c>
      <c r="C49" s="31">
        <v>30</v>
      </c>
      <c r="D49" s="31">
        <v>30</v>
      </c>
      <c r="E49" s="31">
        <v>30</v>
      </c>
      <c r="F49" s="31">
        <v>30</v>
      </c>
      <c r="G49" s="31">
        <v>30</v>
      </c>
      <c r="H49" s="31">
        <v>30</v>
      </c>
      <c r="I49" s="31">
        <v>30</v>
      </c>
    </row>
    <row r="52" spans="1:11">
      <c r="A52" s="1" t="s">
        <v>40</v>
      </c>
    </row>
    <row r="53" spans="1:11" ht="45">
      <c r="C53" s="103" t="s">
        <v>10</v>
      </c>
      <c r="D53" s="103" t="s">
        <v>11</v>
      </c>
      <c r="E53" s="103" t="s">
        <v>12</v>
      </c>
      <c r="F53" s="103" t="s">
        <v>13</v>
      </c>
      <c r="G53" s="103" t="s">
        <v>14</v>
      </c>
      <c r="H53" s="103" t="s">
        <v>15</v>
      </c>
      <c r="I53" s="103" t="s">
        <v>16</v>
      </c>
      <c r="J53" s="85" t="s">
        <v>41</v>
      </c>
    </row>
    <row r="54" spans="1:11">
      <c r="A54" t="s">
        <v>21</v>
      </c>
      <c r="C54" s="32">
        <f t="shared" ref="C54:I54" si="5">ROUND(C47/100*C41,0)</f>
        <v>500</v>
      </c>
      <c r="D54" s="32">
        <f t="shared" si="5"/>
        <v>500</v>
      </c>
      <c r="E54" s="32">
        <f t="shared" si="5"/>
        <v>500</v>
      </c>
      <c r="F54" s="32">
        <f t="shared" si="5"/>
        <v>500</v>
      </c>
      <c r="G54" s="32">
        <f t="shared" si="5"/>
        <v>500</v>
      </c>
      <c r="H54" s="32">
        <f t="shared" si="5"/>
        <v>500</v>
      </c>
      <c r="I54" s="32">
        <f t="shared" si="5"/>
        <v>500</v>
      </c>
      <c r="J54" s="90">
        <f>SUM(C54:I54)</f>
        <v>3500</v>
      </c>
      <c r="K54" s="61">
        <f>J54/J41</f>
        <v>0.1</v>
      </c>
    </row>
    <row r="55" spans="1:11">
      <c r="A55" t="s">
        <v>20</v>
      </c>
      <c r="F55" s="32">
        <f t="shared" ref="F55:I56" si="6">ROUND(F48/100*F42,0)</f>
        <v>10000</v>
      </c>
      <c r="G55" s="32">
        <f t="shared" si="6"/>
        <v>10000</v>
      </c>
      <c r="H55" s="32">
        <f t="shared" si="6"/>
        <v>10000</v>
      </c>
      <c r="I55" s="32">
        <f t="shared" si="6"/>
        <v>10000</v>
      </c>
      <c r="J55" s="90">
        <f t="shared" ref="J55:J56" si="7">SUM(C55:I55)</f>
        <v>40000</v>
      </c>
      <c r="K55" s="61">
        <f>J55/J42</f>
        <v>0.2</v>
      </c>
    </row>
    <row r="56" spans="1:11">
      <c r="A56" t="s">
        <v>19</v>
      </c>
      <c r="C56" s="32">
        <f>ROUND(C49/100*C43,0)</f>
        <v>150000</v>
      </c>
      <c r="D56" s="32">
        <f>ROUND(D49/100*D43,0)</f>
        <v>150000</v>
      </c>
      <c r="E56" s="32">
        <f>ROUND(E49/100*E43,0)</f>
        <v>150000</v>
      </c>
      <c r="F56" s="32">
        <f t="shared" si="6"/>
        <v>150000</v>
      </c>
      <c r="G56" s="32">
        <f t="shared" si="6"/>
        <v>150000</v>
      </c>
      <c r="H56" s="32">
        <f t="shared" si="6"/>
        <v>150000</v>
      </c>
      <c r="I56" s="32">
        <f t="shared" si="6"/>
        <v>150000</v>
      </c>
      <c r="J56" s="90">
        <f t="shared" si="7"/>
        <v>1050000</v>
      </c>
      <c r="K56" s="61">
        <f>J56/J43</f>
        <v>0.3</v>
      </c>
    </row>
    <row r="59" spans="1:11">
      <c r="A59" s="1" t="s">
        <v>42</v>
      </c>
    </row>
    <row r="60" spans="1:11" ht="45">
      <c r="C60" s="103" t="s">
        <v>10</v>
      </c>
      <c r="D60" s="103" t="s">
        <v>11</v>
      </c>
      <c r="E60" s="103" t="s">
        <v>12</v>
      </c>
      <c r="F60" s="103" t="s">
        <v>13</v>
      </c>
      <c r="G60" s="103" t="s">
        <v>14</v>
      </c>
      <c r="H60" s="103" t="s">
        <v>15</v>
      </c>
      <c r="I60" s="103" t="s">
        <v>16</v>
      </c>
      <c r="J60" s="85" t="s">
        <v>43</v>
      </c>
    </row>
    <row r="61" spans="1:11">
      <c r="A61" t="s">
        <v>21</v>
      </c>
      <c r="C61" s="32">
        <f>C54*$J$29</f>
        <v>500</v>
      </c>
      <c r="D61" s="32">
        <f>D54*$J$29</f>
        <v>500</v>
      </c>
      <c r="E61" s="32">
        <f>E54*$J$29</f>
        <v>500</v>
      </c>
      <c r="F61" s="32">
        <f t="shared" ref="F61:I63" si="8">F54*F29</f>
        <v>500</v>
      </c>
      <c r="G61" s="32">
        <f t="shared" si="8"/>
        <v>500</v>
      </c>
      <c r="H61" s="32">
        <f t="shared" si="8"/>
        <v>500</v>
      </c>
      <c r="I61" s="32">
        <f t="shared" si="8"/>
        <v>500</v>
      </c>
      <c r="J61" s="91">
        <f>SUM(C61:I61)</f>
        <v>3500</v>
      </c>
    </row>
    <row r="62" spans="1:11">
      <c r="A62" t="s">
        <v>20</v>
      </c>
      <c r="C62" s="32">
        <f>C55*$J$30</f>
        <v>0</v>
      </c>
      <c r="D62" s="32">
        <f>D55*$J$30</f>
        <v>0</v>
      </c>
      <c r="E62" s="32">
        <f>E55*$J$30</f>
        <v>0</v>
      </c>
      <c r="F62" s="32">
        <f t="shared" si="8"/>
        <v>10000</v>
      </c>
      <c r="G62" s="32">
        <f t="shared" si="8"/>
        <v>10000</v>
      </c>
      <c r="H62" s="32">
        <f t="shared" si="8"/>
        <v>10000</v>
      </c>
      <c r="I62" s="32">
        <f t="shared" si="8"/>
        <v>10000</v>
      </c>
      <c r="J62" s="91">
        <f t="shared" ref="J62:J63" si="9">SUM(C62:I62)</f>
        <v>40000</v>
      </c>
    </row>
    <row r="63" spans="1:11">
      <c r="A63" t="s">
        <v>19</v>
      </c>
      <c r="C63" s="32">
        <f>C56*$J$31</f>
        <v>300000</v>
      </c>
      <c r="D63" s="32">
        <f>D56*$J$31</f>
        <v>300000</v>
      </c>
      <c r="E63" s="32">
        <f>E56*$J$31</f>
        <v>300000</v>
      </c>
      <c r="F63" s="32">
        <f t="shared" si="8"/>
        <v>300000</v>
      </c>
      <c r="G63" s="32">
        <f t="shared" si="8"/>
        <v>300000</v>
      </c>
      <c r="H63" s="32">
        <f t="shared" si="8"/>
        <v>300000</v>
      </c>
      <c r="I63" s="32">
        <f t="shared" si="8"/>
        <v>300000</v>
      </c>
      <c r="J63" s="91">
        <f t="shared" si="9"/>
        <v>2100000</v>
      </c>
    </row>
    <row r="66" spans="1:3">
      <c r="A66" s="1" t="s">
        <v>44</v>
      </c>
    </row>
    <row r="67" spans="1:3" ht="15.75" thickBot="1"/>
    <row r="68" spans="1:3" ht="75.75" thickBot="1">
      <c r="A68" s="44" t="s">
        <v>45</v>
      </c>
      <c r="B68" s="45"/>
      <c r="C68" s="93" t="s">
        <v>46</v>
      </c>
    </row>
    <row r="69" spans="1:3" ht="15.75" thickBot="1">
      <c r="A69" s="109" t="s">
        <v>47</v>
      </c>
      <c r="B69" s="46" t="s">
        <v>21</v>
      </c>
      <c r="C69" s="33">
        <f>J29</f>
        <v>1</v>
      </c>
    </row>
    <row r="70" spans="1:3" ht="15.75" thickBot="1">
      <c r="A70" s="110"/>
      <c r="B70" s="47" t="s">
        <v>20</v>
      </c>
      <c r="C70" s="33">
        <f t="shared" ref="C70:C71" si="10">J30</f>
        <v>1</v>
      </c>
    </row>
    <row r="71" spans="1:3" ht="15.75" thickBot="1">
      <c r="A71" s="111"/>
      <c r="B71" s="48" t="s">
        <v>19</v>
      </c>
      <c r="C71" s="33">
        <f t="shared" si="10"/>
        <v>2</v>
      </c>
    </row>
    <row r="72" spans="1:3" ht="15.75" thickBot="1">
      <c r="A72" s="109" t="s">
        <v>48</v>
      </c>
      <c r="B72" s="46" t="s">
        <v>21</v>
      </c>
      <c r="C72" s="62">
        <f>J34</f>
        <v>5</v>
      </c>
    </row>
    <row r="73" spans="1:3" ht="15.75" thickBot="1">
      <c r="A73" s="110"/>
      <c r="B73" s="47" t="s">
        <v>20</v>
      </c>
      <c r="C73" s="62">
        <f t="shared" ref="C73:C74" si="11">J35</f>
        <v>2</v>
      </c>
    </row>
    <row r="74" spans="1:3" ht="15.75" thickBot="1">
      <c r="A74" s="111"/>
      <c r="B74" s="48" t="s">
        <v>19</v>
      </c>
      <c r="C74" s="62">
        <f t="shared" si="11"/>
        <v>1</v>
      </c>
    </row>
    <row r="75" spans="1:3">
      <c r="A75" s="112" t="s">
        <v>49</v>
      </c>
      <c r="B75" s="46" t="s">
        <v>21</v>
      </c>
      <c r="C75" s="63">
        <f t="shared" ref="C75:C77" si="12">C69/(C69+C72)</f>
        <v>0.16666666666666666</v>
      </c>
    </row>
    <row r="76" spans="1:3">
      <c r="A76" s="113"/>
      <c r="B76" s="47" t="s">
        <v>20</v>
      </c>
      <c r="C76" s="64">
        <f t="shared" si="12"/>
        <v>0.33333333333333331</v>
      </c>
    </row>
    <row r="77" spans="1:3" ht="15.75" thickBot="1">
      <c r="A77" s="114"/>
      <c r="B77" s="48" t="s">
        <v>19</v>
      </c>
      <c r="C77" s="65">
        <f t="shared" si="12"/>
        <v>0.66666666666666663</v>
      </c>
    </row>
    <row r="78" spans="1:3">
      <c r="A78" s="115" t="s">
        <v>50</v>
      </c>
      <c r="B78" s="49" t="s">
        <v>21</v>
      </c>
      <c r="C78" s="66">
        <f t="shared" ref="C78:C80" si="13">C75/C69</f>
        <v>0.16666666666666666</v>
      </c>
    </row>
    <row r="79" spans="1:3">
      <c r="A79" s="113"/>
      <c r="B79" s="47" t="s">
        <v>20</v>
      </c>
      <c r="C79" s="64">
        <f t="shared" si="13"/>
        <v>0.33333333333333331</v>
      </c>
    </row>
    <row r="80" spans="1:3" ht="15.75" thickBot="1">
      <c r="A80" s="114"/>
      <c r="B80" s="48" t="s">
        <v>19</v>
      </c>
      <c r="C80" s="65">
        <f t="shared" si="13"/>
        <v>0.33333333333333331</v>
      </c>
    </row>
    <row r="83" spans="1:3">
      <c r="A83" s="22" t="s">
        <v>51</v>
      </c>
    </row>
    <row r="84" spans="1:3" ht="15.75" thickBot="1"/>
    <row r="85" spans="1:3" ht="25.5" thickBot="1">
      <c r="A85" s="38" t="s">
        <v>52</v>
      </c>
      <c r="B85" s="50"/>
      <c r="C85" s="58" t="s">
        <v>53</v>
      </c>
    </row>
    <row r="86" spans="1:3">
      <c r="A86" s="40" t="s">
        <v>28</v>
      </c>
      <c r="B86" s="51"/>
      <c r="C86" s="69">
        <f>calcul_suport!D10/F30</f>
        <v>1.0416666666666667</v>
      </c>
    </row>
    <row r="87" spans="1:3" ht="15.75" thickBot="1">
      <c r="A87" s="41" t="s">
        <v>29</v>
      </c>
      <c r="B87" s="52"/>
      <c r="C87" s="69">
        <f>calcul_suport!D10/F31</f>
        <v>0.52083333333333337</v>
      </c>
    </row>
    <row r="90" spans="1:3">
      <c r="A90" s="1" t="s">
        <v>54</v>
      </c>
    </row>
    <row r="91" spans="1:3" ht="30">
      <c r="A91" s="53" t="s">
        <v>55</v>
      </c>
      <c r="B91" s="54"/>
      <c r="C91" s="59" t="s">
        <v>56</v>
      </c>
    </row>
    <row r="92" spans="1:3">
      <c r="A92" s="55" t="s">
        <v>27</v>
      </c>
      <c r="B92" s="54"/>
      <c r="C92" s="68">
        <f>C24/12</f>
        <v>44.643154761904761</v>
      </c>
    </row>
    <row r="93" spans="1:3">
      <c r="A93" s="55" t="s">
        <v>28</v>
      </c>
      <c r="B93" s="54"/>
      <c r="C93" s="68">
        <f>D24/12</f>
        <v>2.0833333333333335</v>
      </c>
    </row>
    <row r="94" spans="1:3">
      <c r="A94" s="55" t="s">
        <v>29</v>
      </c>
      <c r="B94" s="54"/>
      <c r="C94" s="67">
        <f>E24/12</f>
        <v>4.166666666666667</v>
      </c>
    </row>
    <row r="95" spans="1:3">
      <c r="A95" s="2"/>
      <c r="C95" s="5"/>
    </row>
    <row r="97" spans="1:3">
      <c r="A97" s="94" t="s">
        <v>57</v>
      </c>
    </row>
    <row r="98" spans="1:3" ht="15.75" thickBot="1">
      <c r="A98" s="95"/>
    </row>
    <row r="99" spans="1:3" ht="36.75" thickBot="1">
      <c r="A99" s="56" t="s">
        <v>58</v>
      </c>
      <c r="B99" s="50"/>
      <c r="C99" s="42" t="s">
        <v>59</v>
      </c>
    </row>
    <row r="100" spans="1:3">
      <c r="A100" s="39" t="s">
        <v>27</v>
      </c>
      <c r="B100" s="57"/>
      <c r="C100" s="70">
        <f>C92</f>
        <v>44.643154761904761</v>
      </c>
    </row>
    <row r="101" spans="1:3">
      <c r="A101" s="40" t="s">
        <v>28</v>
      </c>
      <c r="B101" s="51"/>
      <c r="C101" s="70">
        <f>C93-C86</f>
        <v>1.0416666666666667</v>
      </c>
    </row>
    <row r="102" spans="1:3" ht="15.75" thickBot="1">
      <c r="A102" s="41" t="s">
        <v>29</v>
      </c>
      <c r="B102" s="52"/>
      <c r="C102" s="69">
        <f>C94-C87</f>
        <v>3.6458333333333335</v>
      </c>
    </row>
    <row r="105" spans="1:3">
      <c r="A105" s="94" t="s">
        <v>60</v>
      </c>
    </row>
    <row r="106" spans="1:3" ht="15.75" thickBot="1">
      <c r="A106" s="95"/>
    </row>
    <row r="107" spans="1:3" ht="36.75" thickBot="1">
      <c r="A107" s="56" t="s">
        <v>61</v>
      </c>
      <c r="B107" s="50"/>
      <c r="C107" s="60" t="s">
        <v>59</v>
      </c>
    </row>
    <row r="108" spans="1:3">
      <c r="A108" s="39" t="s">
        <v>27</v>
      </c>
      <c r="B108" s="57"/>
      <c r="C108" s="71">
        <f>C100*C78</f>
        <v>7.4405257936507931</v>
      </c>
    </row>
    <row r="109" spans="1:3">
      <c r="A109" s="40" t="s">
        <v>28</v>
      </c>
      <c r="B109" s="51"/>
      <c r="C109" s="72">
        <f t="shared" ref="C109:C110" si="14">C101*C79</f>
        <v>0.34722222222222221</v>
      </c>
    </row>
    <row r="110" spans="1:3" ht="15.75" thickBot="1">
      <c r="A110" s="41" t="s">
        <v>29</v>
      </c>
      <c r="B110" s="52"/>
      <c r="C110" s="73">
        <f t="shared" si="14"/>
        <v>1.2152777777777777</v>
      </c>
    </row>
    <row r="113" spans="1:13">
      <c r="A113" s="94" t="s">
        <v>62</v>
      </c>
    </row>
    <row r="114" spans="1:13" ht="15.75" thickBot="1">
      <c r="A114" s="95"/>
    </row>
    <row r="115" spans="1:13" ht="36.75" thickBot="1">
      <c r="A115" s="56" t="s">
        <v>63</v>
      </c>
      <c r="B115" s="50"/>
      <c r="C115" s="60" t="s">
        <v>59</v>
      </c>
    </row>
    <row r="116" spans="1:13">
      <c r="A116" s="39" t="s">
        <v>27</v>
      </c>
      <c r="B116" s="57"/>
      <c r="C116" s="71">
        <f>C108</f>
        <v>7.4405257936507931</v>
      </c>
    </row>
    <row r="117" spans="1:13">
      <c r="A117" s="40" t="s">
        <v>28</v>
      </c>
      <c r="B117" s="51"/>
      <c r="C117" s="72">
        <f>C109+C86</f>
        <v>1.3888888888888888</v>
      </c>
    </row>
    <row r="118" spans="1:13" ht="15.75" thickBot="1">
      <c r="A118" s="41" t="s">
        <v>29</v>
      </c>
      <c r="B118" s="52"/>
      <c r="C118" s="73">
        <f>C110+C87</f>
        <v>1.7361111111111112</v>
      </c>
    </row>
    <row r="119" spans="1:13">
      <c r="A119" s="2"/>
      <c r="C119" s="9"/>
    </row>
    <row r="120" spans="1:13">
      <c r="A120" s="2"/>
      <c r="C120" s="9"/>
      <c r="K120" s="96" t="s">
        <v>64</v>
      </c>
      <c r="L120" s="27"/>
      <c r="M120" s="27"/>
    </row>
    <row r="121" spans="1:13">
      <c r="A121" s="22" t="s">
        <v>65</v>
      </c>
      <c r="C121" s="29">
        <f>K126</f>
        <v>0.1111111111111111</v>
      </c>
      <c r="K121" s="97">
        <v>15</v>
      </c>
      <c r="L121" s="27" t="s">
        <v>66</v>
      </c>
      <c r="M121" s="27"/>
    </row>
    <row r="122" spans="1:13">
      <c r="A122" s="2"/>
      <c r="C122" s="9"/>
      <c r="K122" s="97">
        <v>9</v>
      </c>
      <c r="L122" s="27" t="s">
        <v>67</v>
      </c>
      <c r="M122" s="27"/>
    </row>
    <row r="123" spans="1:13">
      <c r="K123" s="97">
        <v>6</v>
      </c>
      <c r="L123" s="27" t="s">
        <v>68</v>
      </c>
      <c r="M123" s="27"/>
    </row>
    <row r="124" spans="1:13" ht="15.75" thickBot="1">
      <c r="A124" s="94" t="s">
        <v>69</v>
      </c>
      <c r="J124" s="92"/>
      <c r="K124" s="98">
        <f>AVERAGE(K121:K123)</f>
        <v>10</v>
      </c>
      <c r="L124" s="15" t="s">
        <v>70</v>
      </c>
      <c r="M124" s="15"/>
    </row>
    <row r="125" spans="1:13" ht="16.5" thickTop="1" thickBot="1">
      <c r="A125" s="95"/>
      <c r="J125" s="92"/>
    </row>
    <row r="126" spans="1:13" ht="48.75" thickBot="1">
      <c r="A126" s="56" t="s">
        <v>71</v>
      </c>
      <c r="B126" s="50"/>
      <c r="C126" s="60" t="s">
        <v>72</v>
      </c>
      <c r="J126" s="92"/>
      <c r="K126" s="37">
        <f>K124/(100-K124)</f>
        <v>0.1111111111111111</v>
      </c>
      <c r="L126" t="s">
        <v>73</v>
      </c>
    </row>
    <row r="127" spans="1:13">
      <c r="A127" s="39" t="s">
        <v>27</v>
      </c>
      <c r="B127" s="57"/>
      <c r="C127" s="71">
        <f>C116*(1+$C$121)</f>
        <v>8.2672508818342152</v>
      </c>
      <c r="D127" s="5"/>
    </row>
    <row r="128" spans="1:13">
      <c r="A128" s="40" t="s">
        <v>28</v>
      </c>
      <c r="B128" s="51"/>
      <c r="C128" s="72">
        <f t="shared" ref="C128:C129" si="15">C117*(1+$C$121)</f>
        <v>1.5432098765432098</v>
      </c>
    </row>
    <row r="129" spans="1:3" ht="15.75" thickBot="1">
      <c r="A129" s="41" t="s">
        <v>29</v>
      </c>
      <c r="B129" s="52"/>
      <c r="C129" s="30">
        <f t="shared" si="15"/>
        <v>1.9290123456790125</v>
      </c>
    </row>
  </sheetData>
  <mergeCells count="5">
    <mergeCell ref="O4:Q4"/>
    <mergeCell ref="A69:A71"/>
    <mergeCell ref="A72:A74"/>
    <mergeCell ref="A75:A77"/>
    <mergeCell ref="A78:A8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591A-1900-4958-A6D1-CCB293375153}">
  <sheetPr>
    <tabColor rgb="FF00B0F0"/>
  </sheetPr>
  <dimension ref="B1:K16"/>
  <sheetViews>
    <sheetView workbookViewId="0">
      <selection activeCell="G5" sqref="G5"/>
    </sheetView>
  </sheetViews>
  <sheetFormatPr defaultRowHeight="15"/>
  <cols>
    <col min="2" max="2" width="35.7109375" bestFit="1" customWidth="1"/>
    <col min="3" max="3" width="14.28515625" bestFit="1" customWidth="1"/>
    <col min="4" max="4" width="14.7109375" bestFit="1" customWidth="1"/>
    <col min="5" max="5" width="15.5703125" customWidth="1"/>
    <col min="6" max="6" width="18.85546875" customWidth="1"/>
    <col min="9" max="9" width="10.140625" bestFit="1" customWidth="1"/>
    <col min="11" max="11" width="16.140625" bestFit="1" customWidth="1"/>
  </cols>
  <sheetData>
    <row r="1" spans="2:11" ht="43.15" customHeight="1">
      <c r="C1" s="116" t="s">
        <v>13</v>
      </c>
      <c r="D1" s="116"/>
      <c r="E1" s="116"/>
    </row>
    <row r="2" spans="2:11" ht="43.15" customHeight="1">
      <c r="C2" s="100" t="s">
        <v>19</v>
      </c>
      <c r="D2" s="100" t="s">
        <v>20</v>
      </c>
      <c r="E2" s="100" t="s">
        <v>21</v>
      </c>
    </row>
    <row r="3" spans="2:11">
      <c r="B3" s="103" t="s">
        <v>74</v>
      </c>
      <c r="C3" s="20">
        <v>1000</v>
      </c>
      <c r="D3" s="20">
        <v>5000</v>
      </c>
      <c r="E3" s="20">
        <v>10000</v>
      </c>
    </row>
    <row r="4" spans="2:11">
      <c r="B4" t="s">
        <v>75</v>
      </c>
      <c r="C4" s="20">
        <f>'Calcul tarif'!F43</f>
        <v>500000</v>
      </c>
      <c r="D4" s="21">
        <f>'Calcul tarif'!F42</f>
        <v>50000</v>
      </c>
      <c r="E4" s="20">
        <f>'Calcul tarif'!F41</f>
        <v>5000</v>
      </c>
    </row>
    <row r="5" spans="2:11" s="3" customFormat="1">
      <c r="B5" s="3" t="s">
        <v>76</v>
      </c>
      <c r="C5" s="99">
        <f>C3*C4</f>
        <v>500000000</v>
      </c>
      <c r="D5" s="99">
        <f t="shared" ref="D5:E5" si="0">D3*D4</f>
        <v>250000000</v>
      </c>
      <c r="E5" s="99">
        <f t="shared" si="0"/>
        <v>50000000</v>
      </c>
      <c r="F5" s="3">
        <f>SUM(C5:E5)</f>
        <v>800000000</v>
      </c>
      <c r="G5" s="78"/>
    </row>
    <row r="6" spans="2:11" s="16" customFormat="1">
      <c r="B6" s="16" t="s">
        <v>77</v>
      </c>
      <c r="C6" s="17">
        <v>2400</v>
      </c>
      <c r="D6" s="17">
        <v>3500</v>
      </c>
      <c r="E6" s="17">
        <v>130000</v>
      </c>
      <c r="F6" s="17"/>
      <c r="G6" s="77"/>
    </row>
    <row r="7" spans="2:11">
      <c r="B7" t="s">
        <v>78</v>
      </c>
      <c r="C7" s="117"/>
      <c r="D7" s="117"/>
      <c r="E7" s="117"/>
      <c r="F7" s="3"/>
      <c r="G7" s="3"/>
    </row>
    <row r="8" spans="2:11">
      <c r="B8" t="s">
        <v>79</v>
      </c>
      <c r="C8" s="118">
        <v>1000000</v>
      </c>
      <c r="D8" s="118"/>
      <c r="E8" s="118"/>
      <c r="F8" s="7"/>
      <c r="G8" s="3"/>
    </row>
    <row r="9" spans="2:11" s="16" customFormat="1"/>
    <row r="10" spans="2:11">
      <c r="B10" t="s">
        <v>80</v>
      </c>
      <c r="C10" s="5"/>
      <c r="D10" s="5">
        <f>C8*2/SUM('Calcul tarif'!F55:F56)/12</f>
        <v>1.0416666666666667</v>
      </c>
      <c r="F10" t="s">
        <v>81</v>
      </c>
    </row>
    <row r="11" spans="2:11">
      <c r="C11" s="5"/>
      <c r="D11" s="5"/>
    </row>
    <row r="12" spans="2:11">
      <c r="C12" s="5"/>
      <c r="D12" s="5"/>
    </row>
    <row r="14" spans="2:11">
      <c r="C14" s="5"/>
      <c r="D14" s="5"/>
      <c r="E14" s="5"/>
      <c r="J14" s="18"/>
      <c r="K14" s="7"/>
    </row>
    <row r="15" spans="2:11">
      <c r="C15" s="5"/>
      <c r="D15" s="5"/>
      <c r="E15" s="5"/>
    </row>
    <row r="16" spans="2:11">
      <c r="C16" s="79"/>
      <c r="D16" s="79"/>
      <c r="E16" s="79"/>
    </row>
  </sheetData>
  <mergeCells count="3">
    <mergeCell ref="C1:E1"/>
    <mergeCell ref="C7:E7"/>
    <mergeCell ref="C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Laurentiu Calota</dc:creator>
  <cp:keywords/>
  <dc:description/>
  <cp:lastModifiedBy>Roxana Ionela Cirjan</cp:lastModifiedBy>
  <cp:revision/>
  <dcterms:created xsi:type="dcterms:W3CDTF">2021-01-14T08:26:42Z</dcterms:created>
  <dcterms:modified xsi:type="dcterms:W3CDTF">2021-09-22T12:46:41Z</dcterms:modified>
  <cp:category/>
  <cp:contentStatus/>
</cp:coreProperties>
</file>